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840" windowWidth="10845" windowHeight="9240"/>
  </bookViews>
  <sheets>
    <sheet name="Ecv" sheetId="17" r:id="rId1"/>
    <sheet name="Elecl " sheetId="9" r:id="rId2"/>
    <sheet name="Estimate cable  " sheetId="2" r:id="rId3"/>
    <sheet name="Civil " sheetId="10" r:id="rId4"/>
    <sheet name="Estimate conductor " sheetId="14" r:id="rId5"/>
    <sheet name="Sheet1" sheetId="15" r:id="rId6"/>
    <sheet name="Estimate AB cable  " sheetId="16" r:id="rId7"/>
  </sheets>
  <definedNames>
    <definedName name="_GoBack" localSheetId="0">Ecv!$J$6</definedName>
    <definedName name="_xlnm.Print_Area" localSheetId="0">Ecv!$A$1:$E$15</definedName>
    <definedName name="_xlnm.Print_Area" localSheetId="1">'Elecl '!$A$1:$C$19</definedName>
    <definedName name="_xlnm.Print_Area" localSheetId="4">'Estimate conductor '!$A$1:$O$27</definedName>
  </definedNames>
  <calcPr calcId="124519"/>
</workbook>
</file>

<file path=xl/calcChain.xml><?xml version="1.0" encoding="utf-8"?>
<calcChain xmlns="http://schemas.openxmlformats.org/spreadsheetml/2006/main">
  <c r="C15" i="17"/>
  <c r="D15" s="1"/>
  <c r="B16" i="9"/>
  <c r="C10" i="17"/>
  <c r="A1" i="9"/>
  <c r="C11" l="1"/>
  <c r="B10"/>
  <c r="B13" s="1"/>
  <c r="C9" i="17" s="1"/>
  <c r="C4" i="9"/>
  <c r="C5"/>
  <c r="C6"/>
  <c r="C7"/>
  <c r="C3"/>
  <c r="C26" i="10"/>
  <c r="D26" s="1"/>
  <c r="C16"/>
  <c r="F27"/>
  <c r="F26"/>
  <c r="J5" i="17" l="1"/>
  <c r="C13" i="9"/>
  <c r="C11" i="17"/>
  <c r="C10" i="9"/>
  <c r="D10"/>
  <c r="H18" i="2"/>
  <c r="H22"/>
  <c r="H24"/>
  <c r="C23" i="17"/>
  <c r="C22" i="10"/>
  <c r="C23"/>
  <c r="C21"/>
  <c r="C20"/>
  <c r="C17"/>
  <c r="C15"/>
  <c r="C12"/>
  <c r="C11"/>
  <c r="C9"/>
  <c r="D23" i="2"/>
  <c r="G18"/>
  <c r="G19"/>
  <c r="H19" s="1"/>
  <c r="G20"/>
  <c r="H20" s="1"/>
  <c r="G21"/>
  <c r="H21" s="1"/>
  <c r="G22"/>
  <c r="G17"/>
  <c r="H17" s="1"/>
  <c r="B29"/>
  <c r="F25"/>
  <c r="F26"/>
  <c r="F27"/>
  <c r="F24"/>
  <c r="F18"/>
  <c r="F19"/>
  <c r="F20"/>
  <c r="F21"/>
  <c r="F22"/>
  <c r="F17"/>
  <c r="F3"/>
  <c r="F4"/>
  <c r="F5"/>
  <c r="F6"/>
  <c r="F7"/>
  <c r="F9"/>
  <c r="F10"/>
  <c r="F11"/>
  <c r="F12"/>
  <c r="G3"/>
  <c r="H3" s="1"/>
  <c r="G4"/>
  <c r="H4" s="1"/>
  <c r="G5"/>
  <c r="G6"/>
  <c r="G7"/>
  <c r="G2"/>
  <c r="H2" s="1"/>
  <c r="F2"/>
  <c r="C8" i="17"/>
  <c r="D8" s="1"/>
  <c r="B14" i="9" l="1"/>
  <c r="L5" i="17"/>
  <c r="K17"/>
  <c r="D23"/>
  <c r="H23" i="2"/>
  <c r="F28"/>
  <c r="K12" i="17"/>
  <c r="F13"/>
  <c r="F13" i="2"/>
  <c r="F8"/>
  <c r="B14" l="1"/>
  <c r="K5" i="17"/>
  <c r="I5"/>
  <c r="D8" i="2" l="1"/>
  <c r="D6" i="9"/>
  <c r="M7" i="17" l="1"/>
  <c r="H12"/>
  <c r="F12"/>
  <c r="C9" i="9"/>
  <c r="F4" i="14"/>
  <c r="H4" s="1"/>
  <c r="J4" s="1"/>
  <c r="C27" i="17" l="1"/>
  <c r="C9" i="14"/>
  <c r="G34" i="16"/>
  <c r="B34"/>
  <c r="H30"/>
  <c r="G30"/>
  <c r="I30" s="1"/>
  <c r="H29"/>
  <c r="G29"/>
  <c r="I29" s="1"/>
  <c r="E28"/>
  <c r="D28"/>
  <c r="F28" s="1"/>
  <c r="K27"/>
  <c r="J27"/>
  <c r="G27"/>
  <c r="I27" s="1"/>
  <c r="N26"/>
  <c r="K26"/>
  <c r="J26"/>
  <c r="G26"/>
  <c r="I26" s="1"/>
  <c r="N25"/>
  <c r="J25"/>
  <c r="K25" s="1"/>
  <c r="I25"/>
  <c r="G25"/>
  <c r="J24"/>
  <c r="K24" s="1"/>
  <c r="I24"/>
  <c r="G24"/>
  <c r="P23"/>
  <c r="J23"/>
  <c r="K23" s="1"/>
  <c r="I23"/>
  <c r="H23"/>
  <c r="G23"/>
  <c r="P22"/>
  <c r="K22"/>
  <c r="J22"/>
  <c r="H22"/>
  <c r="G22"/>
  <c r="I22" s="1"/>
  <c r="P21"/>
  <c r="J21"/>
  <c r="K21" s="1"/>
  <c r="I21"/>
  <c r="H21"/>
  <c r="G21"/>
  <c r="P20"/>
  <c r="K20"/>
  <c r="J20"/>
  <c r="H20"/>
  <c r="G20"/>
  <c r="I20" s="1"/>
  <c r="P19"/>
  <c r="J19"/>
  <c r="K19" s="1"/>
  <c r="I19"/>
  <c r="H19"/>
  <c r="G19"/>
  <c r="K18"/>
  <c r="J18"/>
  <c r="H18"/>
  <c r="G18"/>
  <c r="I18" s="1"/>
  <c r="J17"/>
  <c r="K17" s="1"/>
  <c r="H17"/>
  <c r="H28" s="1"/>
  <c r="G17"/>
  <c r="J16"/>
  <c r="K16" s="1"/>
  <c r="I16"/>
  <c r="H16"/>
  <c r="G16"/>
  <c r="I13"/>
  <c r="H13"/>
  <c r="G13"/>
  <c r="H12"/>
  <c r="G12"/>
  <c r="I12" s="1"/>
  <c r="E11"/>
  <c r="D11"/>
  <c r="F11" s="1"/>
  <c r="J10"/>
  <c r="G10"/>
  <c r="I10" s="1"/>
  <c r="J9"/>
  <c r="I9"/>
  <c r="G9"/>
  <c r="P8"/>
  <c r="K8"/>
  <c r="J8"/>
  <c r="H8"/>
  <c r="G8"/>
  <c r="I8" s="1"/>
  <c r="K7"/>
  <c r="J7"/>
  <c r="H7"/>
  <c r="G7"/>
  <c r="I7" s="1"/>
  <c r="P6"/>
  <c r="J6"/>
  <c r="K6" s="1"/>
  <c r="I6"/>
  <c r="H6"/>
  <c r="G6"/>
  <c r="P5"/>
  <c r="K5"/>
  <c r="J5"/>
  <c r="H5"/>
  <c r="H11" s="1"/>
  <c r="G5"/>
  <c r="I5" s="1"/>
  <c r="J4"/>
  <c r="K4" s="1"/>
  <c r="I4"/>
  <c r="H4"/>
  <c r="G4"/>
  <c r="J3"/>
  <c r="K3" s="1"/>
  <c r="I3"/>
  <c r="H3"/>
  <c r="G3"/>
  <c r="K2"/>
  <c r="J2"/>
  <c r="H2"/>
  <c r="G2"/>
  <c r="G11" s="1"/>
  <c r="C29" i="17" l="1"/>
  <c r="D29" s="1"/>
  <c r="D30" s="1"/>
  <c r="D27"/>
  <c r="C28"/>
  <c r="D28" s="1"/>
  <c r="D11"/>
  <c r="C12" s="1"/>
  <c r="I17" i="16"/>
  <c r="G14"/>
  <c r="H31"/>
  <c r="I28"/>
  <c r="I31" s="1"/>
  <c r="K28"/>
  <c r="K11"/>
  <c r="H14"/>
  <c r="G28"/>
  <c r="G31" s="1"/>
  <c r="I2"/>
  <c r="I11" s="1"/>
  <c r="I14" s="1"/>
  <c r="N30" l="1"/>
  <c r="I32"/>
  <c r="C34"/>
  <c r="D34" s="1"/>
  <c r="I15"/>
  <c r="N13"/>
  <c r="I34"/>
  <c r="M5" i="2"/>
  <c r="G10" i="15"/>
  <c r="G11"/>
  <c r="G12"/>
  <c r="F9"/>
  <c r="C2"/>
  <c r="C9" s="1"/>
  <c r="G9" s="1"/>
  <c r="B9"/>
  <c r="D9"/>
  <c r="E9"/>
  <c r="O30" i="16" l="1"/>
  <c r="C27" i="10" l="1"/>
  <c r="D27" s="1"/>
  <c r="F27" i="14"/>
  <c r="E21"/>
  <c r="F21" s="1"/>
  <c r="C21"/>
  <c r="B20"/>
  <c r="G15"/>
  <c r="F15"/>
  <c r="H15" s="1"/>
  <c r="J15" s="1"/>
  <c r="G14"/>
  <c r="F14"/>
  <c r="E9"/>
  <c r="B8"/>
  <c r="G3"/>
  <c r="F3"/>
  <c r="G2"/>
  <c r="F2"/>
  <c r="C14" i="10"/>
  <c r="C25"/>
  <c r="D25" s="1"/>
  <c r="C19"/>
  <c r="C10"/>
  <c r="C13"/>
  <c r="C18"/>
  <c r="C24" l="1"/>
  <c r="D24" s="1"/>
  <c r="C22" i="17"/>
  <c r="D22" s="1"/>
  <c r="C21"/>
  <c r="D21" s="1"/>
  <c r="H21" i="14"/>
  <c r="H3"/>
  <c r="J3" s="1"/>
  <c r="H9"/>
  <c r="H2"/>
  <c r="J2" s="1"/>
  <c r="F9"/>
  <c r="H14"/>
  <c r="J14" s="1"/>
  <c r="J21" s="1"/>
  <c r="J22" s="1"/>
  <c r="G21"/>
  <c r="G17" i="17" l="1"/>
  <c r="I17"/>
  <c r="C20"/>
  <c r="D20" s="1"/>
  <c r="J9" i="14"/>
  <c r="J10" s="1"/>
  <c r="F17" i="17" l="1"/>
  <c r="H3" i="10"/>
  <c r="I3" l="1"/>
  <c r="J3" s="1"/>
  <c r="F14" i="2" l="1"/>
  <c r="F23" l="1"/>
  <c r="H5"/>
  <c r="F29" l="1"/>
  <c r="H8"/>
  <c r="K11" l="1"/>
</calcChain>
</file>

<file path=xl/sharedStrings.xml><?xml version="1.0" encoding="utf-8"?>
<sst xmlns="http://schemas.openxmlformats.org/spreadsheetml/2006/main" count="249" uniqueCount="137">
  <si>
    <t>Raising</t>
  </si>
  <si>
    <t>Total</t>
  </si>
  <si>
    <t>Material</t>
  </si>
  <si>
    <t>33 kV UG cable</t>
  </si>
  <si>
    <t>11 kV UG cable</t>
  </si>
  <si>
    <t>Laying/Raising/Stringing</t>
  </si>
  <si>
    <t>Cable/Conductor Length</t>
  </si>
  <si>
    <t>Sag Percentage</t>
  </si>
  <si>
    <t>Remarks</t>
  </si>
  <si>
    <t>Conductor Length</t>
  </si>
  <si>
    <t>No. of Runs/Conductors</t>
  </si>
  <si>
    <t>No of Conductors -eg. 6 Conductor implies 6</t>
  </si>
  <si>
    <t>Laying</t>
  </si>
  <si>
    <t>Route Length</t>
  </si>
  <si>
    <t>Revised</t>
  </si>
  <si>
    <t>2nd Cable Qty</t>
  </si>
  <si>
    <t>2nd Cab Length</t>
  </si>
  <si>
    <t xml:space="preserve">Original </t>
  </si>
  <si>
    <t xml:space="preserve"> 33kV Conductor</t>
  </si>
  <si>
    <t xml:space="preserve"> 11kV Conductor</t>
  </si>
  <si>
    <t>No. of Conductors</t>
  </si>
  <si>
    <t>No of Conductors -eg. Dc Conductor implies 6</t>
  </si>
  <si>
    <t>Total Material</t>
  </si>
  <si>
    <t>Check</t>
  </si>
  <si>
    <t>Sub station</t>
  </si>
  <si>
    <t>Civil</t>
  </si>
  <si>
    <t>Electrical</t>
  </si>
  <si>
    <t>RCC Columns - GFLR</t>
  </si>
  <si>
    <t>Plastering (sq.m)</t>
  </si>
  <si>
    <t>Brick Masonry (Cu.m)</t>
  </si>
  <si>
    <t>Steel (Metric Tons)</t>
  </si>
  <si>
    <t>RCC (Cu.m) (If slab quantity is in Sq.m, the same may be converted to Cu.m)</t>
  </si>
  <si>
    <t>11kV</t>
  </si>
  <si>
    <t>Total Schedule Amount</t>
  </si>
  <si>
    <t>RCC Column footings GFLR</t>
  </si>
  <si>
    <t>RCC Columns - FFLR</t>
  </si>
  <si>
    <t>RCC Plinth beams</t>
  </si>
  <si>
    <t>RCC Roof Beams - FFLR</t>
  </si>
  <si>
    <t>RCC Roof Slab - FFLR</t>
  </si>
  <si>
    <t>RCC Total</t>
  </si>
  <si>
    <t>M3</t>
  </si>
  <si>
    <t>m2</t>
  </si>
  <si>
    <t>RCC</t>
  </si>
  <si>
    <t>Steel</t>
  </si>
  <si>
    <t>Plastering</t>
  </si>
  <si>
    <t>Brick</t>
  </si>
  <si>
    <t>G Flr</t>
  </si>
  <si>
    <t>1st Flr</t>
  </si>
  <si>
    <t>Colum</t>
  </si>
  <si>
    <t>plin beam</t>
  </si>
  <si>
    <t>Lintel</t>
  </si>
  <si>
    <t>Roof Beam</t>
  </si>
  <si>
    <t>Slab</t>
  </si>
  <si>
    <t>RCC total</t>
  </si>
  <si>
    <t>Footings</t>
  </si>
  <si>
    <t>33 kV  cable &amp; Cond</t>
  </si>
  <si>
    <t>11 kV cable &amp; Cond</t>
  </si>
  <si>
    <t>power interrup</t>
  </si>
  <si>
    <t>11kV AB Cable</t>
  </si>
  <si>
    <t>Bay Extension</t>
  </si>
  <si>
    <t>Earthing</t>
  </si>
  <si>
    <t xml:space="preserve">Sl. No. </t>
  </si>
  <si>
    <t>Estimate cost (Elect.)</t>
  </si>
  <si>
    <t>Total Estimate cost</t>
  </si>
  <si>
    <t>Schedule Cost</t>
  </si>
  <si>
    <t xml:space="preserve">Amount Excl.GST </t>
  </si>
  <si>
    <t xml:space="preserve">Amount Incl.GST </t>
  </si>
  <si>
    <t>2 % Bid security</t>
  </si>
  <si>
    <t>Estimate cost (Civil.)</t>
  </si>
  <si>
    <t>Experence</t>
  </si>
  <si>
    <t>33 KV UG</t>
  </si>
  <si>
    <t xml:space="preserve">Total </t>
  </si>
  <si>
    <t>Elect</t>
  </si>
  <si>
    <t>Brick Masonry</t>
  </si>
  <si>
    <t>Cu. Mtrs,</t>
  </si>
  <si>
    <t>MT</t>
  </si>
  <si>
    <t>Sq Mtrs.</t>
  </si>
  <si>
    <t>Units</t>
  </si>
  <si>
    <t>Details</t>
  </si>
  <si>
    <t>Electrical Total</t>
  </si>
  <si>
    <t>Civil Total</t>
  </si>
  <si>
    <t>Schedule cost (Elect.)</t>
  </si>
  <si>
    <t>Schedule cost (Civil.)</t>
  </si>
  <si>
    <t>1*630</t>
  </si>
  <si>
    <t>Rasing Length</t>
  </si>
  <si>
    <r>
      <t xml:space="preserve">33 kV UG cable        </t>
    </r>
    <r>
      <rPr>
        <b/>
        <sz val="11"/>
        <color theme="1"/>
        <rFont val="Calibri"/>
        <family val="2"/>
        <scheme val="minor"/>
      </rPr>
      <t>3*400</t>
    </r>
  </si>
  <si>
    <t>11 kV UG cable 3*300</t>
  </si>
  <si>
    <t>RCC Columns -SFLR</t>
  </si>
  <si>
    <t>RCC Lintels - FFLR</t>
  </si>
  <si>
    <t>RCC Lintels - SFLR</t>
  </si>
  <si>
    <t>RCC Sunshades - FFLR</t>
  </si>
  <si>
    <t>RCC Sunshades - SFLR</t>
  </si>
  <si>
    <t>RCC Roof beams GFR</t>
  </si>
  <si>
    <t>RCC Roof Beams - SFLR</t>
  </si>
  <si>
    <t>RCC Roof Slab - GLR</t>
  </si>
  <si>
    <t>RCC Roof Slab - SFLR</t>
  </si>
  <si>
    <r>
      <rPr>
        <b/>
        <sz val="8"/>
        <rFont val="Arial"/>
        <family val="2"/>
      </rPr>
      <t>Brick masonry CM(1:6)-ii cl.bricks - GFL</t>
    </r>
  </si>
  <si>
    <t>Cum</t>
  </si>
  <si>
    <t>Sqmm</t>
  </si>
  <si>
    <t>Req. Exp. 25%</t>
  </si>
  <si>
    <t>2% Bid Security</t>
  </si>
  <si>
    <t>Schedule Cost Without GST</t>
  </si>
  <si>
    <t>Schedule Cost With GST</t>
  </si>
  <si>
    <t>2nd Cable Runs</t>
  </si>
  <si>
    <t>S. No.</t>
  </si>
  <si>
    <t>Name of the Substation</t>
  </si>
  <si>
    <t>Name of the Mandal</t>
  </si>
  <si>
    <t>SS cost (Rs) Incl. GST</t>
  </si>
  <si>
    <t xml:space="preserve">Line Cost (Rs)  </t>
  </si>
  <si>
    <t>Incl. GST</t>
  </si>
  <si>
    <t>Civil work cost  Incl. GST</t>
  </si>
  <si>
    <t>Total SS Cost in Rs  Incl. GST</t>
  </si>
  <si>
    <t>33kV OH Line in km</t>
  </si>
  <si>
    <t>M typeTowers</t>
  </si>
  <si>
    <t>-</t>
  </si>
  <si>
    <t>RCC (Cu.m)</t>
  </si>
  <si>
    <t>Steel(MT)</t>
  </si>
  <si>
    <t>Plastering in Sq.m</t>
  </si>
  <si>
    <t>33kV 3x400 Sqmm &amp; 1x 630 Sqmm XLPE UG Cable in km</t>
  </si>
  <si>
    <t>33kV / 11 kV Line (Route length in km)</t>
  </si>
  <si>
    <r>
      <t xml:space="preserve">11 kV </t>
    </r>
    <r>
      <rPr>
        <b/>
        <sz val="12"/>
        <color theme="1"/>
        <rFont val="Book Antiqua"/>
        <family val="1"/>
      </rPr>
      <t>3x300 Sqmm XLPE UG Cable in km</t>
    </r>
  </si>
  <si>
    <t>25 % Exp req.</t>
  </si>
  <si>
    <t>Schudule cost With GST in Cr</t>
  </si>
  <si>
    <t xml:space="preserve"> Cr</t>
  </si>
  <si>
    <t>LI</t>
  </si>
  <si>
    <t>Pecentage %</t>
  </si>
  <si>
    <t>Estimate Contract Value (ECV)</t>
  </si>
  <si>
    <t>Quoted Value</t>
  </si>
  <si>
    <t>Negotiated Value</t>
  </si>
  <si>
    <t xml:space="preserve"> 5% Perfprmance Security (SD)</t>
  </si>
  <si>
    <t>M/s.</t>
  </si>
  <si>
    <t>2nd alternate source to 33/11KV Khilwath SS from 132/33KV Seetharambagh EHT SS</t>
  </si>
  <si>
    <t>T-2527-12-02-03-01-004</t>
  </si>
  <si>
    <t>S.P.O.O.(O&amp;M-T&amp;D-Imp.works) Ms.No.99, Dt:20.01.2026</t>
  </si>
  <si>
    <t>Rs.10,92,96,619/-</t>
  </si>
  <si>
    <t>Km.</t>
  </si>
  <si>
    <t>T.Sp. 31 /25-26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</si>
</sst>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#,##0.000"/>
  </numFmts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5"/>
      <color theme="1"/>
      <name val="Book Antiqua"/>
      <family val="1"/>
    </font>
    <font>
      <sz val="11"/>
      <name val="Book Antiqua"/>
      <family val="1"/>
    </font>
    <font>
      <sz val="11"/>
      <color rgb="FFFF0000"/>
      <name val="Book Antiqua"/>
      <family val="1"/>
    </font>
    <font>
      <b/>
      <sz val="15"/>
      <name val="Book Antiqua"/>
      <family val="1"/>
    </font>
    <font>
      <b/>
      <sz val="11"/>
      <color theme="1"/>
      <name val="Book Antiqua"/>
      <family val="1"/>
    </font>
    <font>
      <b/>
      <sz val="12"/>
      <color theme="1"/>
      <name val="Book Antiqua"/>
      <family val="1"/>
    </font>
    <font>
      <b/>
      <sz val="11"/>
      <color rgb="FFFF0000"/>
      <name val="Book Antiqua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name val="Book Antiqua"/>
      <family val="1"/>
    </font>
    <font>
      <b/>
      <sz val="11"/>
      <color rgb="FFFF0000"/>
      <name val="Calibri"/>
      <family val="2"/>
      <scheme val="minor"/>
    </font>
    <font>
      <b/>
      <sz val="8"/>
      <name val="Arial"/>
      <family val="2"/>
    </font>
    <font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rgb="FFFF0000"/>
      <name val="Book Antiqua"/>
      <family val="1"/>
    </font>
    <font>
      <sz val="12"/>
      <color rgb="FF0000FF"/>
      <name val="Book Antiqua"/>
      <family val="1"/>
    </font>
    <font>
      <sz val="12"/>
      <color theme="1"/>
      <name val="Calibri"/>
      <family val="2"/>
      <scheme val="minor"/>
    </font>
    <font>
      <sz val="15"/>
      <name val="Book Antiqua"/>
      <family val="1"/>
    </font>
    <font>
      <sz val="15"/>
      <color theme="1"/>
      <name val="Book Antiqua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2" xfId="0" applyFont="1" applyBorder="1" applyAlignment="1">
      <alignment horizontal="justify" vertical="top" wrapText="1"/>
    </xf>
    <xf numFmtId="2" fontId="1" fillId="0" borderId="0" xfId="0" applyNumberFormat="1" applyFont="1"/>
    <xf numFmtId="2" fontId="0" fillId="0" borderId="0" xfId="0" applyNumberFormat="1"/>
    <xf numFmtId="2" fontId="0" fillId="2" borderId="0" xfId="0" applyNumberFormat="1" applyFill="1"/>
    <xf numFmtId="0" fontId="2" fillId="0" borderId="0" xfId="0" applyFont="1" applyFill="1" applyBorder="1" applyAlignment="1">
      <alignment horizontal="justify" vertical="top" wrapText="1"/>
    </xf>
    <xf numFmtId="0" fontId="1" fillId="0" borderId="1" xfId="0" applyFont="1" applyBorder="1"/>
    <xf numFmtId="0" fontId="0" fillId="0" borderId="1" xfId="0" applyBorder="1"/>
    <xf numFmtId="3" fontId="4" fillId="0" borderId="1" xfId="0" applyNumberFormat="1" applyFont="1" applyBorder="1"/>
    <xf numFmtId="0" fontId="3" fillId="0" borderId="1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0" fillId="3" borderId="1" xfId="0" applyFill="1" applyBorder="1"/>
    <xf numFmtId="0" fontId="5" fillId="4" borderId="1" xfId="0" applyFont="1" applyFill="1" applyBorder="1"/>
    <xf numFmtId="164" fontId="0" fillId="0" borderId="0" xfId="0" applyNumberFormat="1"/>
    <xf numFmtId="0" fontId="5" fillId="4" borderId="0" xfId="0" applyFont="1" applyFill="1"/>
    <xf numFmtId="0" fontId="2" fillId="0" borderId="0" xfId="0" applyFont="1" applyBorder="1" applyAlignment="1">
      <alignment horizontal="justify" vertical="top" wrapText="1"/>
    </xf>
    <xf numFmtId="4" fontId="0" fillId="2" borderId="0" xfId="0" applyNumberFormat="1" applyFill="1"/>
    <xf numFmtId="0" fontId="4" fillId="0" borderId="0" xfId="0" applyFont="1"/>
    <xf numFmtId="4" fontId="0" fillId="0" borderId="0" xfId="0" applyNumberFormat="1"/>
    <xf numFmtId="3" fontId="4" fillId="0" borderId="0" xfId="0" applyNumberFormat="1" applyFont="1"/>
    <xf numFmtId="164" fontId="0" fillId="2" borderId="0" xfId="0" applyNumberFormat="1" applyFill="1"/>
    <xf numFmtId="0" fontId="1" fillId="2" borderId="0" xfId="0" applyFont="1" applyFill="1"/>
    <xf numFmtId="3" fontId="3" fillId="0" borderId="1" xfId="0" applyNumberFormat="1" applyFont="1" applyBorder="1"/>
    <xf numFmtId="0" fontId="10" fillId="0" borderId="2" xfId="0" applyFont="1" applyBorder="1" applyAlignment="1">
      <alignment horizontal="justify" vertical="top" wrapText="1"/>
    </xf>
    <xf numFmtId="0" fontId="0" fillId="7" borderId="1" xfId="0" applyFill="1" applyBorder="1"/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13" fillId="0" borderId="0" xfId="0" applyFont="1"/>
    <xf numFmtId="43" fontId="13" fillId="0" borderId="1" xfId="0" applyNumberFormat="1" applyFont="1" applyBorder="1"/>
    <xf numFmtId="2" fontId="13" fillId="0" borderId="0" xfId="0" applyNumberFormat="1" applyFont="1"/>
    <xf numFmtId="0" fontId="14" fillId="0" borderId="1" xfId="0" applyFont="1" applyBorder="1" applyAlignment="1">
      <alignment horizontal="center" wrapText="1"/>
    </xf>
    <xf numFmtId="0" fontId="15" fillId="0" borderId="1" xfId="0" applyFont="1" applyBorder="1"/>
    <xf numFmtId="0" fontId="15" fillId="0" borderId="0" xfId="0" applyFont="1"/>
    <xf numFmtId="9" fontId="15" fillId="0" borderId="1" xfId="0" applyNumberFormat="1" applyFont="1" applyBorder="1"/>
    <xf numFmtId="0" fontId="15" fillId="0" borderId="1" xfId="0" applyFont="1" applyFill="1" applyBorder="1"/>
    <xf numFmtId="2" fontId="13" fillId="0" borderId="1" xfId="0" applyNumberFormat="1" applyFont="1" applyBorder="1"/>
    <xf numFmtId="43" fontId="2" fillId="0" borderId="0" xfId="0" applyNumberFormat="1" applyFont="1" applyAlignment="1">
      <alignment vertical="center" wrapText="1"/>
    </xf>
    <xf numFmtId="43" fontId="6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3" fontId="15" fillId="0" borderId="1" xfId="0" applyNumberFormat="1" applyFont="1" applyBorder="1"/>
    <xf numFmtId="0" fontId="0" fillId="0" borderId="1" xfId="0" applyFont="1" applyBorder="1"/>
    <xf numFmtId="13" fontId="1" fillId="2" borderId="1" xfId="0" applyNumberFormat="1" applyFont="1" applyFill="1" applyBorder="1"/>
    <xf numFmtId="0" fontId="17" fillId="2" borderId="1" xfId="0" applyFont="1" applyFill="1" applyBorder="1"/>
    <xf numFmtId="3" fontId="17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3" fontId="1" fillId="2" borderId="1" xfId="0" applyNumberFormat="1" applyFont="1" applyFill="1" applyBorder="1"/>
    <xf numFmtId="4" fontId="1" fillId="2" borderId="0" xfId="0" applyNumberFormat="1" applyFont="1" applyFill="1"/>
    <xf numFmtId="164" fontId="10" fillId="0" borderId="2" xfId="0" applyNumberFormat="1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4" fontId="10" fillId="0" borderId="2" xfId="0" applyNumberFormat="1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4" fontId="13" fillId="0" borderId="1" xfId="0" applyNumberFormat="1" applyFont="1" applyBorder="1"/>
    <xf numFmtId="164" fontId="13" fillId="0" borderId="1" xfId="0" applyNumberFormat="1" applyFont="1" applyBorder="1"/>
    <xf numFmtId="0" fontId="10" fillId="0" borderId="1" xfId="0" applyFont="1" applyBorder="1" applyAlignment="1">
      <alignment horizontal="right" vertical="center" wrapText="1"/>
    </xf>
    <xf numFmtId="1" fontId="0" fillId="0" borderId="1" xfId="0" applyNumberFormat="1" applyBorder="1"/>
    <xf numFmtId="1" fontId="0" fillId="0" borderId="0" xfId="0" applyNumberFormat="1"/>
    <xf numFmtId="1" fontId="1" fillId="2" borderId="1" xfId="0" applyNumberFormat="1" applyFont="1" applyFill="1" applyBorder="1"/>
    <xf numFmtId="1" fontId="17" fillId="2" borderId="1" xfId="0" applyNumberFormat="1" applyFont="1" applyFill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1" xfId="0" applyFont="1" applyBorder="1"/>
    <xf numFmtId="0" fontId="15" fillId="0" borderId="1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7" borderId="2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left"/>
    </xf>
    <xf numFmtId="43" fontId="15" fillId="0" borderId="0" xfId="0" applyNumberFormat="1" applyFont="1"/>
    <xf numFmtId="43" fontId="23" fillId="0" borderId="0" xfId="0" applyNumberFormat="1" applyFont="1"/>
    <xf numFmtId="0" fontId="0" fillId="0" borderId="12" xfId="0" applyBorder="1" applyAlignment="1"/>
    <xf numFmtId="43" fontId="0" fillId="0" borderId="0" xfId="0" applyNumberFormat="1"/>
    <xf numFmtId="4" fontId="24" fillId="0" borderId="1" xfId="0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 wrapText="1"/>
    </xf>
    <xf numFmtId="43" fontId="24" fillId="0" borderId="1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vertical="center" wrapText="1"/>
    </xf>
    <xf numFmtId="43" fontId="9" fillId="0" borderId="3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wrapText="1"/>
    </xf>
    <xf numFmtId="43" fontId="28" fillId="0" borderId="1" xfId="0" applyNumberFormat="1" applyFont="1" applyBorder="1" applyAlignment="1">
      <alignment horizontal="center" wrapText="1"/>
    </xf>
    <xf numFmtId="43" fontId="14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6" fillId="0" borderId="1" xfId="0" applyFont="1" applyBorder="1"/>
    <xf numFmtId="0" fontId="15" fillId="0" borderId="1" xfId="0" applyFont="1" applyFill="1" applyBorder="1" applyAlignment="1">
      <alignment wrapText="1"/>
    </xf>
    <xf numFmtId="43" fontId="13" fillId="0" borderId="1" xfId="0" applyNumberFormat="1" applyFont="1" applyBorder="1" applyAlignment="1">
      <alignment horizontal="center"/>
    </xf>
    <xf numFmtId="43" fontId="15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/>
    <xf numFmtId="0" fontId="26" fillId="0" borderId="12" xfId="0" applyFont="1" applyBorder="1" applyAlignment="1"/>
    <xf numFmtId="2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3" fontId="21" fillId="0" borderId="6" xfId="0" applyNumberFormat="1" applyFont="1" applyBorder="1" applyAlignment="1">
      <alignment horizontal="center" vertical="center" wrapText="1"/>
    </xf>
    <xf numFmtId="43" fontId="21" fillId="0" borderId="10" xfId="0" applyNumberFormat="1" applyFont="1" applyBorder="1" applyAlignment="1">
      <alignment horizontal="center" vertical="center" wrapText="1"/>
    </xf>
    <xf numFmtId="43" fontId="21" fillId="0" borderId="7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0" borderId="7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43" fontId="22" fillId="0" borderId="6" xfId="0" applyNumberFormat="1" applyFont="1" applyBorder="1" applyAlignment="1">
      <alignment vertical="center" wrapText="1"/>
    </xf>
    <xf numFmtId="43" fontId="22" fillId="0" borderId="10" xfId="0" applyNumberFormat="1" applyFont="1" applyBorder="1" applyAlignment="1">
      <alignment vertical="center" wrapText="1"/>
    </xf>
    <xf numFmtId="43" fontId="22" fillId="0" borderId="7" xfId="0" applyNumberFormat="1" applyFont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SheetLayoutView="100" workbookViewId="0">
      <selection activeCell="D13" sqref="D13"/>
    </sheetView>
  </sheetViews>
  <sheetFormatPr defaultRowHeight="15"/>
  <cols>
    <col min="1" max="1" width="9" customWidth="1"/>
    <col min="2" max="2" width="24.42578125" bestFit="1" customWidth="1"/>
    <col min="3" max="4" width="22.7109375" bestFit="1" customWidth="1"/>
    <col min="5" max="5" width="13.42578125" customWidth="1"/>
    <col min="6" max="9" width="18" customWidth="1"/>
    <col min="10" max="10" width="15.5703125" customWidth="1"/>
    <col min="11" max="12" width="18" customWidth="1"/>
    <col min="13" max="13" width="19.85546875" bestFit="1" customWidth="1"/>
  </cols>
  <sheetData>
    <row r="1" spans="1:13" ht="38.25" customHeight="1">
      <c r="A1" s="149" t="s">
        <v>131</v>
      </c>
      <c r="B1" s="150"/>
      <c r="C1" s="150"/>
      <c r="D1" s="150"/>
      <c r="E1" s="150"/>
    </row>
    <row r="2" spans="1:13" ht="21.75" thickBot="1">
      <c r="A2" s="107"/>
      <c r="B2" s="107"/>
      <c r="C2" s="123" t="s">
        <v>136</v>
      </c>
      <c r="D2" s="108"/>
    </row>
    <row r="3" spans="1:13" s="54" customFormat="1" ht="38.25" customHeight="1">
      <c r="A3" s="153" t="s">
        <v>133</v>
      </c>
      <c r="B3" s="154"/>
      <c r="C3" s="155"/>
      <c r="D3" s="121" t="s">
        <v>134</v>
      </c>
      <c r="F3" s="133" t="s">
        <v>104</v>
      </c>
      <c r="G3" s="133" t="s">
        <v>105</v>
      </c>
      <c r="H3" s="133" t="s">
        <v>106</v>
      </c>
      <c r="I3" s="133" t="s">
        <v>107</v>
      </c>
      <c r="J3" s="90" t="s">
        <v>108</v>
      </c>
      <c r="K3" s="133" t="s">
        <v>110</v>
      </c>
      <c r="L3" s="133" t="s">
        <v>111</v>
      </c>
    </row>
    <row r="4" spans="1:13" ht="19.5" thickBot="1">
      <c r="A4" s="156" t="s">
        <v>132</v>
      </c>
      <c r="B4" s="156"/>
      <c r="C4" s="156"/>
      <c r="F4" s="134"/>
      <c r="G4" s="134"/>
      <c r="H4" s="134"/>
      <c r="I4" s="134"/>
      <c r="J4" s="91" t="s">
        <v>109</v>
      </c>
      <c r="K4" s="134"/>
      <c r="L4" s="134"/>
    </row>
    <row r="5" spans="1:13" s="54" customFormat="1" ht="18.75">
      <c r="A5" s="53" t="s">
        <v>61</v>
      </c>
      <c r="B5" s="53" t="s">
        <v>78</v>
      </c>
      <c r="C5" s="53" t="s">
        <v>65</v>
      </c>
      <c r="D5" s="53" t="s">
        <v>66</v>
      </c>
      <c r="F5" s="136">
        <v>1</v>
      </c>
      <c r="G5" s="139"/>
      <c r="H5" s="142"/>
      <c r="I5" s="145">
        <f>'Elecl '!C3</f>
        <v>0</v>
      </c>
      <c r="J5" s="145">
        <f>'Elecl '!C4+'Elecl '!C5</f>
        <v>18384631.4098</v>
      </c>
      <c r="K5" s="127">
        <f>'Elecl '!C11</f>
        <v>0</v>
      </c>
      <c r="L5" s="130">
        <f>'Elecl '!C13</f>
        <v>18384631.4098</v>
      </c>
    </row>
    <row r="6" spans="1:13" s="54" customFormat="1" ht="18.75">
      <c r="A6" s="48">
        <v>1</v>
      </c>
      <c r="B6" s="48" t="s">
        <v>62</v>
      </c>
      <c r="C6" s="50">
        <v>109296618.76000001</v>
      </c>
      <c r="D6" s="53"/>
      <c r="F6" s="137"/>
      <c r="G6" s="140"/>
      <c r="H6" s="143"/>
      <c r="I6" s="146"/>
      <c r="J6" s="146"/>
      <c r="K6" s="128"/>
      <c r="L6" s="131"/>
    </row>
    <row r="7" spans="1:13" s="54" customFormat="1" ht="18.75">
      <c r="A7" s="48">
        <v>2</v>
      </c>
      <c r="B7" s="48" t="s">
        <v>68</v>
      </c>
      <c r="C7" s="120" t="s">
        <v>114</v>
      </c>
      <c r="D7" s="53"/>
      <c r="F7" s="137"/>
      <c r="G7" s="140"/>
      <c r="H7" s="143"/>
      <c r="I7" s="146"/>
      <c r="J7" s="146"/>
      <c r="K7" s="128"/>
      <c r="L7" s="131"/>
      <c r="M7" s="105">
        <f>I5+J5+K5</f>
        <v>18384631.4098</v>
      </c>
    </row>
    <row r="8" spans="1:13" s="54" customFormat="1" ht="18.75">
      <c r="A8" s="53">
        <v>3</v>
      </c>
      <c r="B8" s="53" t="s">
        <v>63</v>
      </c>
      <c r="C8" s="67">
        <f>SUM(C6:C7)</f>
        <v>109296618.76000001</v>
      </c>
      <c r="D8" s="99">
        <f>1.18*C8</f>
        <v>128970010.13680001</v>
      </c>
      <c r="F8" s="137"/>
      <c r="G8" s="140"/>
      <c r="H8" s="143"/>
      <c r="I8" s="146"/>
      <c r="J8" s="146"/>
      <c r="K8" s="128"/>
      <c r="L8" s="131"/>
    </row>
    <row r="9" spans="1:13" s="49" customFormat="1" ht="19.5" thickBot="1">
      <c r="A9" s="48">
        <v>4</v>
      </c>
      <c r="B9" s="48" t="s">
        <v>81</v>
      </c>
      <c r="C9" s="50">
        <f>'Elecl '!B13</f>
        <v>15580196.109999999</v>
      </c>
      <c r="D9" s="48"/>
      <c r="F9" s="138"/>
      <c r="G9" s="141"/>
      <c r="H9" s="144"/>
      <c r="I9" s="147"/>
      <c r="J9" s="147"/>
      <c r="K9" s="129"/>
      <c r="L9" s="132"/>
    </row>
    <row r="10" spans="1:13" s="49" customFormat="1" ht="18.75">
      <c r="A10" s="48">
        <v>5</v>
      </c>
      <c r="B10" s="48" t="s">
        <v>82</v>
      </c>
      <c r="C10" s="120">
        <f>'Elecl '!B11</f>
        <v>0</v>
      </c>
      <c r="D10" s="50" t="s">
        <v>114</v>
      </c>
    </row>
    <row r="11" spans="1:13" s="54" customFormat="1" ht="48.75" customHeight="1">
      <c r="A11" s="98">
        <v>6</v>
      </c>
      <c r="B11" s="98" t="s">
        <v>64</v>
      </c>
      <c r="C11" s="99">
        <f>SUM(C9:C10)</f>
        <v>15580196.109999999</v>
      </c>
      <c r="D11" s="99">
        <f>1.18*C11</f>
        <v>18384631.409799997</v>
      </c>
      <c r="F11" s="94" t="s">
        <v>119</v>
      </c>
      <c r="G11" s="94" t="s">
        <v>112</v>
      </c>
      <c r="H11" s="135" t="s">
        <v>118</v>
      </c>
      <c r="I11" s="135"/>
      <c r="J11" s="135"/>
      <c r="K11" s="95" t="s">
        <v>120</v>
      </c>
      <c r="L11" s="94" t="s">
        <v>113</v>
      </c>
    </row>
    <row r="12" spans="1:13" s="49" customFormat="1" ht="18.75">
      <c r="A12" s="53">
        <v>7</v>
      </c>
      <c r="B12" s="53" t="s">
        <v>67</v>
      </c>
      <c r="C12" s="67">
        <f>D11*2%</f>
        <v>367692.62819599995</v>
      </c>
      <c r="D12" s="48"/>
      <c r="F12" s="96">
        <f>'Estimate cable  '!D8/1000</f>
        <v>7.2</v>
      </c>
      <c r="G12" s="125" t="s">
        <v>114</v>
      </c>
      <c r="H12" s="151">
        <f>'Estimate cable  '!D8/1000</f>
        <v>7.2</v>
      </c>
      <c r="I12" s="151"/>
      <c r="J12" s="151"/>
      <c r="K12" s="151">
        <f>'Estimate cable  '!D23/1000</f>
        <v>0</v>
      </c>
      <c r="L12" s="152" t="s">
        <v>114</v>
      </c>
    </row>
    <row r="13" spans="1:13" s="49" customFormat="1" ht="18.75">
      <c r="C13" s="51"/>
      <c r="F13" s="97">
        <f>'Estimate cable  '!D23/1000</f>
        <v>0</v>
      </c>
      <c r="G13" s="125"/>
      <c r="H13" s="151"/>
      <c r="I13" s="151"/>
      <c r="J13" s="151"/>
      <c r="K13" s="151"/>
      <c r="L13" s="152"/>
    </row>
    <row r="14" spans="1:13" s="54" customFormat="1" ht="18.75">
      <c r="A14" s="53" t="s">
        <v>72</v>
      </c>
      <c r="B14" s="53" t="s">
        <v>69</v>
      </c>
      <c r="C14" s="53" t="s">
        <v>71</v>
      </c>
      <c r="D14" s="55" t="s">
        <v>99</v>
      </c>
      <c r="E14" s="93" t="s">
        <v>77</v>
      </c>
      <c r="F14" s="125"/>
      <c r="G14" s="125"/>
      <c r="H14" s="125"/>
      <c r="I14" s="125"/>
      <c r="J14" s="125"/>
      <c r="K14" s="125"/>
      <c r="L14" s="125"/>
    </row>
    <row r="15" spans="1:13" s="49" customFormat="1" ht="18.75">
      <c r="A15" s="48">
        <v>1</v>
      </c>
      <c r="B15" s="48" t="s">
        <v>70</v>
      </c>
      <c r="C15" s="57">
        <f>'Estimate cable  '!D8/1000</f>
        <v>7.2</v>
      </c>
      <c r="D15" s="57">
        <f>C15*0.25</f>
        <v>1.8</v>
      </c>
      <c r="E15" s="92" t="s">
        <v>135</v>
      </c>
      <c r="F15" s="125"/>
      <c r="G15" s="125"/>
      <c r="H15" s="125"/>
      <c r="I15" s="125"/>
      <c r="J15" s="125"/>
      <c r="K15" s="125"/>
      <c r="L15" s="125"/>
    </row>
    <row r="16" spans="1:13" s="49" customFormat="1" ht="19.5" customHeight="1">
      <c r="A16" s="48"/>
      <c r="B16" s="48"/>
      <c r="C16" s="57"/>
      <c r="D16" s="57"/>
      <c r="E16" s="92"/>
      <c r="F16" s="94" t="s">
        <v>115</v>
      </c>
      <c r="G16" s="135" t="s">
        <v>116</v>
      </c>
      <c r="H16" s="135"/>
      <c r="I16" s="135" t="s">
        <v>29</v>
      </c>
      <c r="J16" s="135"/>
      <c r="K16" s="135" t="s">
        <v>117</v>
      </c>
      <c r="L16" s="135"/>
    </row>
    <row r="17" spans="1:12" s="49" customFormat="1" ht="18.75">
      <c r="A17" s="48"/>
      <c r="B17" s="48"/>
      <c r="C17" s="57"/>
      <c r="D17" s="57"/>
      <c r="E17" s="92"/>
      <c r="F17" s="124">
        <f>C20</f>
        <v>0</v>
      </c>
      <c r="G17" s="125">
        <f>C21</f>
        <v>0</v>
      </c>
      <c r="H17" s="125"/>
      <c r="I17" s="125">
        <f>C22</f>
        <v>0</v>
      </c>
      <c r="J17" s="125"/>
      <c r="K17" s="126">
        <f>C23</f>
        <v>0</v>
      </c>
      <c r="L17" s="125"/>
    </row>
    <row r="18" spans="1:12" s="49" customFormat="1" ht="18.75">
      <c r="F18" s="125"/>
      <c r="G18" s="125"/>
      <c r="H18" s="125"/>
      <c r="I18" s="125"/>
      <c r="J18" s="125"/>
      <c r="K18" s="125"/>
      <c r="L18" s="125"/>
    </row>
    <row r="19" spans="1:12" s="54" customFormat="1" ht="18.75">
      <c r="A19" s="53" t="s">
        <v>25</v>
      </c>
      <c r="B19" s="53" t="s">
        <v>69</v>
      </c>
      <c r="C19" s="53" t="s">
        <v>71</v>
      </c>
      <c r="D19" s="55" t="s">
        <v>99</v>
      </c>
      <c r="E19" s="56" t="s">
        <v>77</v>
      </c>
    </row>
    <row r="20" spans="1:12" s="49" customFormat="1" ht="18.75">
      <c r="A20" s="48">
        <v>1</v>
      </c>
      <c r="B20" s="52" t="s">
        <v>42</v>
      </c>
      <c r="C20" s="57">
        <f>'Civil '!C24</f>
        <v>0</v>
      </c>
      <c r="D20" s="84">
        <f>C20*25%</f>
        <v>0</v>
      </c>
      <c r="E20" s="48" t="s">
        <v>74</v>
      </c>
    </row>
    <row r="21" spans="1:12" s="49" customFormat="1" ht="18.75">
      <c r="A21" s="48">
        <v>2</v>
      </c>
      <c r="B21" s="52" t="s">
        <v>43</v>
      </c>
      <c r="C21" s="48">
        <f>'Civil '!C25</f>
        <v>0</v>
      </c>
      <c r="D21" s="84">
        <f t="shared" ref="D21:D23" si="0">C21*25%</f>
        <v>0</v>
      </c>
      <c r="E21" s="48" t="s">
        <v>75</v>
      </c>
    </row>
    <row r="22" spans="1:12" s="49" customFormat="1" ht="18.75">
      <c r="A22" s="48">
        <v>3</v>
      </c>
      <c r="B22" s="52" t="s">
        <v>73</v>
      </c>
      <c r="C22" s="48">
        <f>'Civil '!C26</f>
        <v>0</v>
      </c>
      <c r="D22" s="84">
        <f t="shared" si="0"/>
        <v>0</v>
      </c>
      <c r="E22" s="48" t="s">
        <v>74</v>
      </c>
      <c r="H22" s="106">
        <v>7096258.71</v>
      </c>
      <c r="I22" s="106">
        <v>8373585.2778000003</v>
      </c>
    </row>
    <row r="23" spans="1:12" s="49" customFormat="1" ht="18" customHeight="1">
      <c r="A23" s="48">
        <v>4</v>
      </c>
      <c r="B23" s="52" t="s">
        <v>44</v>
      </c>
      <c r="C23" s="83">
        <f>'Civil '!B27</f>
        <v>0</v>
      </c>
      <c r="D23" s="84">
        <f t="shared" si="0"/>
        <v>0</v>
      </c>
      <c r="E23" s="48" t="s">
        <v>76</v>
      </c>
      <c r="H23" s="106">
        <v>167471.705556</v>
      </c>
      <c r="I23" s="106"/>
    </row>
    <row r="25" spans="1:12" ht="24.75" customHeight="1">
      <c r="A25" s="118" t="s">
        <v>124</v>
      </c>
      <c r="B25" s="148" t="s">
        <v>130</v>
      </c>
      <c r="C25" s="148"/>
      <c r="D25" s="148"/>
      <c r="E25" s="148"/>
    </row>
    <row r="26" spans="1:12" ht="39.75" customHeight="1">
      <c r="A26" s="53" t="s">
        <v>61</v>
      </c>
      <c r="B26" s="53" t="s">
        <v>78</v>
      </c>
      <c r="C26" s="53" t="s">
        <v>65</v>
      </c>
      <c r="D26" s="53" t="s">
        <v>66</v>
      </c>
      <c r="E26" s="119" t="s">
        <v>125</v>
      </c>
    </row>
    <row r="27" spans="1:12" ht="39.75" customHeight="1">
      <c r="A27" s="52">
        <v>1</v>
      </c>
      <c r="B27" s="114" t="s">
        <v>126</v>
      </c>
      <c r="C27" s="115">
        <f>C11</f>
        <v>15580196.109999999</v>
      </c>
      <c r="D27" s="115">
        <f>C27+(C27*18%)</f>
        <v>18384631.4098</v>
      </c>
      <c r="E27" s="52"/>
    </row>
    <row r="28" spans="1:12" ht="24.75" customHeight="1">
      <c r="A28" s="52">
        <v>2</v>
      </c>
      <c r="B28" s="114" t="s">
        <v>127</v>
      </c>
      <c r="C28" s="116">
        <f>C27+(C27*E28%)</f>
        <v>15580196.109999999</v>
      </c>
      <c r="D28" s="116">
        <f t="shared" ref="D28:D29" si="1">C28+(C28*18%)</f>
        <v>18384631.4098</v>
      </c>
      <c r="E28" s="52">
        <v>0</v>
      </c>
    </row>
    <row r="29" spans="1:12" ht="24.75" customHeight="1">
      <c r="A29" s="52">
        <v>3</v>
      </c>
      <c r="B29" s="114" t="s">
        <v>128</v>
      </c>
      <c r="C29" s="115">
        <f>C27+(C27*E29%)</f>
        <v>15580196.109999999</v>
      </c>
      <c r="D29" s="115">
        <f t="shared" si="1"/>
        <v>18384631.4098</v>
      </c>
      <c r="E29" s="117">
        <v>0</v>
      </c>
    </row>
    <row r="30" spans="1:12" ht="35.25" customHeight="1">
      <c r="A30" s="52">
        <v>4</v>
      </c>
      <c r="B30" s="114" t="s">
        <v>129</v>
      </c>
      <c r="C30" s="115"/>
      <c r="D30" s="115">
        <f>D29*E30%</f>
        <v>919231.57049000007</v>
      </c>
      <c r="E30" s="117">
        <v>5</v>
      </c>
    </row>
  </sheetData>
  <mergeCells count="30">
    <mergeCell ref="B25:E25"/>
    <mergeCell ref="A1:E1"/>
    <mergeCell ref="F3:F4"/>
    <mergeCell ref="G3:G4"/>
    <mergeCell ref="H3:H4"/>
    <mergeCell ref="G16:H16"/>
    <mergeCell ref="H11:J11"/>
    <mergeCell ref="H12:J13"/>
    <mergeCell ref="F14:L15"/>
    <mergeCell ref="G12:G13"/>
    <mergeCell ref="K12:K13"/>
    <mergeCell ref="L12:L13"/>
    <mergeCell ref="A3:C3"/>
    <mergeCell ref="A4:C4"/>
    <mergeCell ref="I3:I4"/>
    <mergeCell ref="L3:L4"/>
    <mergeCell ref="K3:K4"/>
    <mergeCell ref="I16:J16"/>
    <mergeCell ref="K16:L16"/>
    <mergeCell ref="F5:F9"/>
    <mergeCell ref="G5:G9"/>
    <mergeCell ref="H5:H9"/>
    <mergeCell ref="I5:I9"/>
    <mergeCell ref="J5:J9"/>
    <mergeCell ref="F17:F18"/>
    <mergeCell ref="G17:H18"/>
    <mergeCell ref="I17:J18"/>
    <mergeCell ref="K17:L18"/>
    <mergeCell ref="K5:K9"/>
    <mergeCell ref="L5:L9"/>
  </mergeCells>
  <pageMargins left="0.70866141732283472" right="0.23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A1:H19"/>
  <sheetViews>
    <sheetView view="pageBreakPreview" zoomScale="115" zoomScaleNormal="115" zoomScaleSheetLayoutView="115" workbookViewId="0">
      <selection activeCell="B17" sqref="B17"/>
    </sheetView>
  </sheetViews>
  <sheetFormatPr defaultRowHeight="16.5"/>
  <cols>
    <col min="1" max="1" width="31.7109375" style="30" customWidth="1"/>
    <col min="2" max="2" width="24" style="30" customWidth="1"/>
    <col min="3" max="3" width="24.28515625" style="58" customWidth="1"/>
    <col min="4" max="4" width="26.5703125" style="30" customWidth="1"/>
    <col min="5" max="5" width="14.140625" style="30" customWidth="1"/>
    <col min="6" max="6" width="18.42578125" style="30" customWidth="1"/>
    <col min="7" max="7" width="12.7109375" style="30" customWidth="1"/>
    <col min="8" max="8" width="18.85546875" style="31" customWidth="1"/>
    <col min="9" max="9" width="13.42578125" style="30" bestFit="1" customWidth="1"/>
    <col min="10" max="16384" width="9.140625" style="30"/>
  </cols>
  <sheetData>
    <row r="1" spans="1:8" ht="33" customHeight="1">
      <c r="A1" s="157" t="str">
        <f>Ecv!A1</f>
        <v>2nd alternate source to 33/11KV Khilwath SS from 132/33KV Seetharambagh EHT SS</v>
      </c>
      <c r="B1" s="157"/>
      <c r="C1" s="157"/>
    </row>
    <row r="2" spans="1:8" ht="39">
      <c r="A2" s="62" t="s">
        <v>26</v>
      </c>
      <c r="B2" s="47" t="s">
        <v>101</v>
      </c>
      <c r="C2" s="47" t="s">
        <v>102</v>
      </c>
      <c r="D2" s="32"/>
      <c r="E2" s="33"/>
      <c r="F2" s="34"/>
      <c r="G2" s="33"/>
      <c r="H2" s="35"/>
    </row>
    <row r="3" spans="1:8" ht="31.5" customHeight="1">
      <c r="A3" s="36" t="s">
        <v>24</v>
      </c>
      <c r="B3" s="59">
        <v>0</v>
      </c>
      <c r="C3" s="59">
        <f>B3+(B3*18%)</f>
        <v>0</v>
      </c>
      <c r="D3" s="45"/>
      <c r="E3" s="39"/>
      <c r="F3" s="40"/>
      <c r="G3" s="40"/>
    </row>
    <row r="4" spans="1:8" ht="31.5" customHeight="1">
      <c r="A4" s="36" t="s">
        <v>55</v>
      </c>
      <c r="B4" s="59">
        <v>15580196.109999999</v>
      </c>
      <c r="C4" s="59">
        <f t="shared" ref="C4:C7" si="0">B4+(B4*18%)</f>
        <v>18384631.4098</v>
      </c>
      <c r="D4" s="45"/>
      <c r="E4" s="39"/>
      <c r="F4" s="40"/>
    </row>
    <row r="5" spans="1:8" ht="31.5" customHeight="1">
      <c r="A5" s="36" t="s">
        <v>56</v>
      </c>
      <c r="B5" s="59">
        <v>0</v>
      </c>
      <c r="C5" s="59">
        <f t="shared" si="0"/>
        <v>0</v>
      </c>
    </row>
    <row r="6" spans="1:8" ht="31.5" customHeight="1">
      <c r="A6" s="36"/>
      <c r="B6" s="38">
        <v>0</v>
      </c>
      <c r="C6" s="59">
        <f t="shared" si="0"/>
        <v>0</v>
      </c>
      <c r="D6" s="58">
        <f>C4+C5</f>
        <v>18384631.4098</v>
      </c>
    </row>
    <row r="7" spans="1:8" ht="31.5" customHeight="1">
      <c r="A7" s="36" t="s">
        <v>59</v>
      </c>
      <c r="B7" s="59">
        <v>0</v>
      </c>
      <c r="C7" s="59">
        <f t="shared" si="0"/>
        <v>0</v>
      </c>
      <c r="D7" s="45"/>
      <c r="E7" s="23"/>
      <c r="F7" s="40"/>
      <c r="G7" s="40"/>
    </row>
    <row r="8" spans="1:8" ht="31.5" customHeight="1">
      <c r="A8" s="41" t="s">
        <v>57</v>
      </c>
      <c r="B8" s="42">
        <v>0</v>
      </c>
      <c r="C8" s="60"/>
      <c r="D8" s="46"/>
    </row>
    <row r="9" spans="1:8" ht="19.5">
      <c r="A9" s="36" t="s">
        <v>60</v>
      </c>
      <c r="B9" s="59">
        <v>0</v>
      </c>
      <c r="C9" s="59">
        <f>B9+B9*18%</f>
        <v>0</v>
      </c>
      <c r="D9" s="32"/>
      <c r="E9" s="33"/>
      <c r="F9" s="37"/>
      <c r="G9" s="33"/>
      <c r="H9" s="35"/>
    </row>
    <row r="10" spans="1:8" ht="31.5" customHeight="1">
      <c r="A10" s="63" t="s">
        <v>79</v>
      </c>
      <c r="B10" s="109">
        <f>SUM(B3:B9)</f>
        <v>15580196.109999999</v>
      </c>
      <c r="C10" s="110">
        <f>SUM(C3:C9)</f>
        <v>18384631.4098</v>
      </c>
      <c r="D10" s="46">
        <f>B10+(B10*18%)</f>
        <v>18384631.4098</v>
      </c>
    </row>
    <row r="11" spans="1:8" ht="19.5">
      <c r="A11" s="63" t="s">
        <v>80</v>
      </c>
      <c r="B11" s="109">
        <v>0</v>
      </c>
      <c r="C11" s="111">
        <f>B11+(B11*18%)</f>
        <v>0</v>
      </c>
    </row>
    <row r="12" spans="1:8" ht="19.5">
      <c r="B12" s="64"/>
      <c r="C12" s="61"/>
    </row>
    <row r="13" spans="1:8" ht="39">
      <c r="A13" s="65" t="s">
        <v>33</v>
      </c>
      <c r="B13" s="43">
        <f>B10+B11</f>
        <v>15580196.109999999</v>
      </c>
      <c r="C13" s="111">
        <f>B13+(B13*18%)</f>
        <v>18384631.4098</v>
      </c>
      <c r="G13" s="44"/>
    </row>
    <row r="14" spans="1:8" ht="19.5">
      <c r="A14" s="66" t="s">
        <v>122</v>
      </c>
      <c r="B14" s="112">
        <f>C13/10000000</f>
        <v>1.8384631409800001</v>
      </c>
      <c r="C14" s="113" t="s">
        <v>123</v>
      </c>
      <c r="G14" s="44"/>
    </row>
    <row r="16" spans="1:8" ht="19.5">
      <c r="A16" s="85" t="s">
        <v>100</v>
      </c>
      <c r="B16" s="43">
        <f>C13*2%</f>
        <v>367692.62819600001</v>
      </c>
    </row>
    <row r="18" spans="5:7">
      <c r="E18" s="44"/>
      <c r="F18" s="44"/>
      <c r="G18" s="44"/>
    </row>
    <row r="19" spans="5:7">
      <c r="E19" s="44"/>
      <c r="F19" s="44"/>
      <c r="G19" s="44"/>
    </row>
  </sheetData>
  <mergeCells count="1">
    <mergeCell ref="A1:C1"/>
  </mergeCells>
  <pageMargins left="0.7" right="0.7" top="0.75" bottom="0.75" header="0.3" footer="0.3"/>
  <pageSetup paperSize="9" scale="99" orientation="portrait" r:id="rId1"/>
  <colBreaks count="1" manualBreakCount="1">
    <brk id="3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M31"/>
  <sheetViews>
    <sheetView zoomScale="115" zoomScaleNormal="115" workbookViewId="0">
      <selection activeCell="F13" sqref="F13"/>
    </sheetView>
  </sheetViews>
  <sheetFormatPr defaultRowHeight="15"/>
  <cols>
    <col min="1" max="1" width="24.140625" customWidth="1"/>
    <col min="2" max="2" width="11" customWidth="1"/>
    <col min="3" max="3" width="14.140625" customWidth="1"/>
    <col min="4" max="4" width="18" customWidth="1"/>
    <col min="5" max="6" width="9" customWidth="1"/>
    <col min="7" max="7" width="14.28515625" customWidth="1"/>
    <col min="8" max="8" width="12" customWidth="1"/>
    <col min="9" max="9" width="40.5703125" bestFit="1" customWidth="1"/>
  </cols>
  <sheetData>
    <row r="1" spans="1:13" s="102" customFormat="1" ht="57" customHeight="1">
      <c r="A1" s="100" t="s">
        <v>2</v>
      </c>
      <c r="B1" s="100" t="s">
        <v>2</v>
      </c>
      <c r="C1" s="100" t="s">
        <v>5</v>
      </c>
      <c r="D1" s="100" t="s">
        <v>6</v>
      </c>
      <c r="E1" s="101" t="s">
        <v>10</v>
      </c>
      <c r="F1" s="100" t="s">
        <v>17</v>
      </c>
      <c r="G1" s="100" t="s">
        <v>103</v>
      </c>
      <c r="H1" s="100" t="s">
        <v>16</v>
      </c>
      <c r="I1" s="100" t="s">
        <v>8</v>
      </c>
    </row>
    <row r="2" spans="1:13">
      <c r="A2" s="11" t="s">
        <v>85</v>
      </c>
      <c r="B2" s="86">
        <v>11350</v>
      </c>
      <c r="C2" s="11" t="s">
        <v>12</v>
      </c>
      <c r="D2" s="122">
        <v>3800</v>
      </c>
      <c r="E2" s="11">
        <v>2</v>
      </c>
      <c r="F2" s="11">
        <f>E2*D2</f>
        <v>7600</v>
      </c>
      <c r="G2" s="11">
        <f>IF(E2&gt;1,(E2-1),0)</f>
        <v>1</v>
      </c>
      <c r="H2" s="11">
        <f>G2*D2</f>
        <v>3800</v>
      </c>
      <c r="I2" s="11"/>
      <c r="K2">
        <v>1</v>
      </c>
    </row>
    <row r="3" spans="1:13">
      <c r="A3" s="11"/>
      <c r="B3" s="87"/>
      <c r="C3" s="11" t="s">
        <v>12</v>
      </c>
      <c r="D3" s="68">
        <v>200</v>
      </c>
      <c r="E3" s="11">
        <v>2</v>
      </c>
      <c r="F3" s="11">
        <f t="shared" ref="F3:F12" si="0">E3*D3</f>
        <v>400</v>
      </c>
      <c r="G3" s="11">
        <f t="shared" ref="G3:G7" si="1">IF(E3&gt;1,(E3-1),0)</f>
        <v>1</v>
      </c>
      <c r="H3" s="11">
        <f>G3*D3</f>
        <v>200</v>
      </c>
      <c r="I3" s="11"/>
      <c r="K3">
        <v>2</v>
      </c>
    </row>
    <row r="4" spans="1:13">
      <c r="A4" s="72" t="s">
        <v>83</v>
      </c>
      <c r="B4" s="86"/>
      <c r="C4" s="11" t="s">
        <v>12</v>
      </c>
      <c r="D4" s="68">
        <v>200</v>
      </c>
      <c r="E4" s="11">
        <v>1</v>
      </c>
      <c r="F4" s="11">
        <f t="shared" si="0"/>
        <v>200</v>
      </c>
      <c r="G4" s="11">
        <f t="shared" si="1"/>
        <v>0</v>
      </c>
      <c r="H4" s="11">
        <f>D4*G4</f>
        <v>0</v>
      </c>
      <c r="I4" s="11"/>
      <c r="J4">
        <v>600</v>
      </c>
      <c r="K4">
        <v>3</v>
      </c>
    </row>
    <row r="5" spans="1:13">
      <c r="A5" s="11"/>
      <c r="B5" s="86"/>
      <c r="C5" s="11" t="s">
        <v>12</v>
      </c>
      <c r="D5" s="68">
        <v>3000</v>
      </c>
      <c r="E5" s="11">
        <v>1</v>
      </c>
      <c r="F5" s="11">
        <f t="shared" si="0"/>
        <v>3000</v>
      </c>
      <c r="G5" s="11">
        <f t="shared" si="1"/>
        <v>0</v>
      </c>
      <c r="H5" s="11">
        <f>G5*(D5+E5)</f>
        <v>0</v>
      </c>
      <c r="I5" s="11"/>
      <c r="K5">
        <v>4</v>
      </c>
      <c r="M5">
        <f>250*5</f>
        <v>1250</v>
      </c>
    </row>
    <row r="6" spans="1:13">
      <c r="A6" s="11"/>
      <c r="B6" s="86"/>
      <c r="C6" s="11" t="s">
        <v>12</v>
      </c>
      <c r="D6" s="68"/>
      <c r="E6" s="11">
        <v>1</v>
      </c>
      <c r="F6" s="11">
        <f t="shared" si="0"/>
        <v>0</v>
      </c>
      <c r="G6" s="11">
        <f t="shared" si="1"/>
        <v>0</v>
      </c>
      <c r="H6" s="11"/>
      <c r="I6" s="11"/>
    </row>
    <row r="7" spans="1:13">
      <c r="A7" s="11"/>
      <c r="B7" s="86"/>
      <c r="C7" s="11" t="s">
        <v>12</v>
      </c>
      <c r="D7" s="68">
        <v>0</v>
      </c>
      <c r="E7" s="11"/>
      <c r="F7" s="11">
        <f t="shared" si="0"/>
        <v>0</v>
      </c>
      <c r="G7" s="11">
        <f t="shared" si="1"/>
        <v>0</v>
      </c>
      <c r="H7" s="11"/>
      <c r="I7" s="11"/>
    </row>
    <row r="8" spans="1:13" s="26" customFormat="1">
      <c r="A8" s="73"/>
      <c r="B8" s="88"/>
      <c r="C8" s="73" t="s">
        <v>13</v>
      </c>
      <c r="D8" s="71">
        <f>SUM(D2:D7)</f>
        <v>7200</v>
      </c>
      <c r="E8" s="73"/>
      <c r="F8" s="73">
        <f>SUM(F2:F7)</f>
        <v>11200</v>
      </c>
      <c r="G8" s="73"/>
      <c r="H8" s="70">
        <f>SUM(H2:H5)</f>
        <v>4000</v>
      </c>
      <c r="I8" s="73"/>
    </row>
    <row r="9" spans="1:13">
      <c r="A9" s="11"/>
      <c r="B9" s="86"/>
      <c r="C9" s="11" t="s">
        <v>0</v>
      </c>
      <c r="D9" s="11">
        <v>40</v>
      </c>
      <c r="E9" s="11">
        <v>2</v>
      </c>
      <c r="F9" s="11">
        <f t="shared" si="0"/>
        <v>80</v>
      </c>
      <c r="G9" s="11"/>
      <c r="H9" s="11"/>
      <c r="I9" s="11"/>
    </row>
    <row r="10" spans="1:13">
      <c r="A10" s="11"/>
      <c r="B10" s="86"/>
      <c r="C10" s="11" t="s">
        <v>0</v>
      </c>
      <c r="D10" s="11">
        <v>70</v>
      </c>
      <c r="E10" s="11">
        <v>1</v>
      </c>
      <c r="F10" s="11">
        <f t="shared" si="0"/>
        <v>70</v>
      </c>
      <c r="G10" s="11"/>
      <c r="H10" s="11"/>
      <c r="I10" s="11"/>
    </row>
    <row r="11" spans="1:13">
      <c r="A11" s="11"/>
      <c r="B11" s="86"/>
      <c r="C11" s="11" t="s">
        <v>0</v>
      </c>
      <c r="D11" s="11">
        <v>0</v>
      </c>
      <c r="E11" s="11">
        <v>0</v>
      </c>
      <c r="F11" s="11">
        <f t="shared" si="0"/>
        <v>0</v>
      </c>
      <c r="G11" s="11"/>
      <c r="H11" s="11"/>
      <c r="I11" s="11"/>
      <c r="K11" s="23" t="e">
        <f>#REF!-#REF!</f>
        <v>#REF!</v>
      </c>
    </row>
    <row r="12" spans="1:13">
      <c r="A12" s="11"/>
      <c r="B12" s="86"/>
      <c r="C12" s="11" t="s">
        <v>0</v>
      </c>
      <c r="D12" s="11">
        <v>0</v>
      </c>
      <c r="E12" s="11"/>
      <c r="F12" s="11">
        <f t="shared" si="0"/>
        <v>0</v>
      </c>
      <c r="G12" s="11"/>
      <c r="H12" s="11"/>
      <c r="I12" s="11"/>
      <c r="K12" s="23"/>
    </row>
    <row r="13" spans="1:13" s="26" customFormat="1">
      <c r="A13" s="73"/>
      <c r="B13" s="88"/>
      <c r="C13" s="73" t="s">
        <v>84</v>
      </c>
      <c r="D13" s="73"/>
      <c r="E13" s="73"/>
      <c r="F13" s="73">
        <f>SUM(F9:F12)</f>
        <v>150</v>
      </c>
      <c r="G13" s="73"/>
      <c r="H13" s="73"/>
      <c r="I13" s="73"/>
      <c r="K13" s="75"/>
    </row>
    <row r="14" spans="1:13" s="26" customFormat="1">
      <c r="A14" s="73" t="s">
        <v>1</v>
      </c>
      <c r="B14" s="89">
        <f>SUM(B2:B12)</f>
        <v>11350</v>
      </c>
      <c r="C14" s="73"/>
      <c r="D14" s="74"/>
      <c r="E14" s="69" t="s">
        <v>1</v>
      </c>
      <c r="F14" s="70">
        <f>F8+F13</f>
        <v>11350</v>
      </c>
      <c r="G14" s="73"/>
      <c r="H14" s="73"/>
      <c r="I14" s="88"/>
    </row>
    <row r="15" spans="1:13">
      <c r="A15" s="11"/>
      <c r="B15" s="86"/>
      <c r="C15" s="11"/>
      <c r="D15" s="11"/>
      <c r="E15" s="11"/>
      <c r="F15" s="11"/>
      <c r="G15" s="11"/>
      <c r="H15" s="11"/>
      <c r="I15" s="11"/>
    </row>
    <row r="16" spans="1:13">
      <c r="A16" s="11"/>
      <c r="B16" s="86"/>
      <c r="C16" s="11"/>
      <c r="D16" s="11"/>
      <c r="E16" s="11"/>
      <c r="F16" s="11"/>
      <c r="G16" s="11"/>
      <c r="H16" s="11"/>
      <c r="I16" s="11"/>
    </row>
    <row r="17" spans="1:12">
      <c r="A17" s="11" t="s">
        <v>86</v>
      </c>
      <c r="B17" s="87">
        <v>0</v>
      </c>
      <c r="C17" s="11" t="s">
        <v>12</v>
      </c>
      <c r="D17" s="12">
        <v>0</v>
      </c>
      <c r="E17" s="11">
        <v>2</v>
      </c>
      <c r="F17" s="11">
        <f>E17*D17</f>
        <v>0</v>
      </c>
      <c r="G17" s="11">
        <f>IF(E17&gt;1,(E17-1),0)</f>
        <v>1</v>
      </c>
      <c r="H17" s="11">
        <f>G17*D17</f>
        <v>0</v>
      </c>
      <c r="I17" s="11"/>
    </row>
    <row r="18" spans="1:12">
      <c r="A18" s="11"/>
      <c r="B18" s="86"/>
      <c r="C18" s="29" t="s">
        <v>12</v>
      </c>
      <c r="D18" s="12"/>
      <c r="E18" s="11">
        <v>1</v>
      </c>
      <c r="F18" s="11">
        <f t="shared" ref="F18:F22" si="2">E18*D18</f>
        <v>0</v>
      </c>
      <c r="G18" s="11">
        <f t="shared" ref="G18:G22" si="3">IF(E18&gt;1,(E18-1),0)</f>
        <v>0</v>
      </c>
      <c r="H18" s="11">
        <f t="shared" ref="H18:H22" si="4">G18*D18</f>
        <v>0</v>
      </c>
      <c r="I18" s="11"/>
    </row>
    <row r="19" spans="1:12">
      <c r="A19" s="11"/>
      <c r="B19" s="86"/>
      <c r="C19" s="11" t="s">
        <v>12</v>
      </c>
      <c r="D19" s="12"/>
      <c r="E19" s="11">
        <v>2</v>
      </c>
      <c r="F19" s="11">
        <f t="shared" si="2"/>
        <v>0</v>
      </c>
      <c r="G19" s="11">
        <f t="shared" si="3"/>
        <v>1</v>
      </c>
      <c r="H19" s="11">
        <f t="shared" si="4"/>
        <v>0</v>
      </c>
      <c r="I19" s="11"/>
    </row>
    <row r="20" spans="1:12">
      <c r="A20" s="11"/>
      <c r="B20" s="86"/>
      <c r="C20" s="11" t="s">
        <v>12</v>
      </c>
      <c r="D20" s="12"/>
      <c r="E20" s="11">
        <v>2</v>
      </c>
      <c r="F20" s="11">
        <f t="shared" si="2"/>
        <v>0</v>
      </c>
      <c r="G20" s="11">
        <f t="shared" si="3"/>
        <v>1</v>
      </c>
      <c r="H20" s="11">
        <f t="shared" si="4"/>
        <v>0</v>
      </c>
      <c r="I20" s="11"/>
    </row>
    <row r="21" spans="1:12">
      <c r="A21" s="11"/>
      <c r="B21" s="86"/>
      <c r="C21" s="11" t="s">
        <v>12</v>
      </c>
      <c r="D21" s="12"/>
      <c r="E21" s="11">
        <v>3</v>
      </c>
      <c r="F21" s="11">
        <f t="shared" si="2"/>
        <v>0</v>
      </c>
      <c r="G21" s="11">
        <f t="shared" si="3"/>
        <v>2</v>
      </c>
      <c r="H21" s="11">
        <f t="shared" si="4"/>
        <v>0</v>
      </c>
      <c r="I21" s="11"/>
    </row>
    <row r="22" spans="1:12">
      <c r="A22" s="11"/>
      <c r="B22" s="86"/>
      <c r="C22" s="11" t="s">
        <v>12</v>
      </c>
      <c r="D22" s="12"/>
      <c r="E22" s="11">
        <v>5</v>
      </c>
      <c r="F22" s="11">
        <f t="shared" si="2"/>
        <v>0</v>
      </c>
      <c r="G22" s="11">
        <f t="shared" si="3"/>
        <v>4</v>
      </c>
      <c r="H22" s="11">
        <f t="shared" si="4"/>
        <v>0</v>
      </c>
      <c r="I22" s="11"/>
    </row>
    <row r="23" spans="1:12" s="26" customFormat="1">
      <c r="A23" s="73"/>
      <c r="B23" s="88"/>
      <c r="C23" s="73" t="s">
        <v>13</v>
      </c>
      <c r="D23" s="71">
        <f>SUM(D17:D22)</f>
        <v>0</v>
      </c>
      <c r="E23" s="73"/>
      <c r="F23" s="73">
        <f>SUM(F17:F22)</f>
        <v>0</v>
      </c>
      <c r="G23" s="73"/>
      <c r="H23" s="70">
        <f>SUM(H17:H22)</f>
        <v>0</v>
      </c>
      <c r="I23" s="73"/>
    </row>
    <row r="24" spans="1:12">
      <c r="A24" s="11"/>
      <c r="B24" s="86"/>
      <c r="C24" s="11" t="s">
        <v>0</v>
      </c>
      <c r="D24" s="11">
        <v>0</v>
      </c>
      <c r="E24" s="11">
        <v>2</v>
      </c>
      <c r="F24" s="11">
        <f>E24*D24</f>
        <v>0</v>
      </c>
      <c r="G24" s="11"/>
      <c r="H24" s="11">
        <f t="shared" ref="H24" si="5">G24*D24</f>
        <v>0</v>
      </c>
      <c r="I24" s="11"/>
    </row>
    <row r="25" spans="1:12">
      <c r="A25" s="11"/>
      <c r="B25" s="86"/>
      <c r="C25" s="11" t="s">
        <v>0</v>
      </c>
      <c r="D25" s="11">
        <v>0</v>
      </c>
      <c r="E25" s="11">
        <v>0</v>
      </c>
      <c r="F25" s="11">
        <f t="shared" ref="F25:F27" si="6">E25*D25</f>
        <v>0</v>
      </c>
      <c r="G25" s="11"/>
      <c r="H25" s="11"/>
      <c r="I25" s="11"/>
      <c r="K25" s="23"/>
      <c r="L25" s="23"/>
    </row>
    <row r="26" spans="1:12">
      <c r="A26" s="11"/>
      <c r="B26" s="86"/>
      <c r="C26" s="11" t="s">
        <v>0</v>
      </c>
      <c r="D26" s="11">
        <v>0</v>
      </c>
      <c r="E26" s="11"/>
      <c r="F26" s="11">
        <f t="shared" si="6"/>
        <v>0</v>
      </c>
      <c r="G26" s="11"/>
      <c r="H26" s="11"/>
      <c r="I26" s="11"/>
      <c r="K26" s="23"/>
      <c r="L26" s="23"/>
    </row>
    <row r="27" spans="1:12">
      <c r="A27" s="11"/>
      <c r="B27" s="86"/>
      <c r="C27" s="11" t="s">
        <v>0</v>
      </c>
      <c r="D27" s="11">
        <v>0</v>
      </c>
      <c r="E27" s="11"/>
      <c r="F27" s="11">
        <f t="shared" si="6"/>
        <v>0</v>
      </c>
      <c r="G27" s="11"/>
      <c r="H27" s="11"/>
      <c r="I27" s="11"/>
      <c r="K27" s="23"/>
      <c r="L27" s="23"/>
    </row>
    <row r="28" spans="1:12" s="26" customFormat="1">
      <c r="A28" s="73"/>
      <c r="B28" s="88"/>
      <c r="C28" s="73" t="s">
        <v>84</v>
      </c>
      <c r="D28" s="73"/>
      <c r="E28" s="73"/>
      <c r="F28" s="73">
        <f>SUM(F24:F27)</f>
        <v>0</v>
      </c>
      <c r="G28" s="73"/>
      <c r="H28" s="73"/>
      <c r="I28" s="73"/>
    </row>
    <row r="29" spans="1:12" s="26" customFormat="1">
      <c r="A29" s="73" t="s">
        <v>1</v>
      </c>
      <c r="B29" s="89">
        <f>SUM(B17:B28)</f>
        <v>0</v>
      </c>
      <c r="C29" s="73"/>
      <c r="D29" s="73"/>
      <c r="E29" s="73" t="s">
        <v>1</v>
      </c>
      <c r="F29" s="70">
        <f>F23+F28</f>
        <v>0</v>
      </c>
      <c r="G29" s="73"/>
      <c r="H29" s="73"/>
      <c r="I29" s="73"/>
    </row>
    <row r="30" spans="1:12">
      <c r="B30" s="87"/>
      <c r="K30">
        <v>9</v>
      </c>
    </row>
    <row r="31" spans="1:12">
      <c r="B31" s="87"/>
    </row>
  </sheetData>
  <dataValidations count="1">
    <dataValidation type="list" allowBlank="1" showInputMessage="1" showErrorMessage="1" sqref="C24:C27 C29 C9:C12 C14:C22 C2:C7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tabColor rgb="FFFF0000"/>
  </sheetPr>
  <dimension ref="A2:L27"/>
  <sheetViews>
    <sheetView topLeftCell="A13" zoomScale="115" zoomScaleNormal="115" workbookViewId="0">
      <selection activeCell="A29" sqref="A29"/>
    </sheetView>
  </sheetViews>
  <sheetFormatPr defaultRowHeight="15"/>
  <cols>
    <col min="1" max="1" width="33.140625" customWidth="1"/>
    <col min="2" max="2" width="10.85546875" customWidth="1"/>
    <col min="3" max="3" width="10.7109375" bestFit="1" customWidth="1"/>
    <col min="4" max="4" width="15.85546875" bestFit="1" customWidth="1"/>
    <col min="5" max="5" width="19.42578125" customWidth="1"/>
    <col min="6" max="6" width="14.42578125" style="18" customWidth="1"/>
    <col min="7" max="7" width="16.85546875" bestFit="1" customWidth="1"/>
    <col min="9" max="9" width="12" bestFit="1" customWidth="1"/>
    <col min="10" max="10" width="13.28515625" bestFit="1" customWidth="1"/>
    <col min="11" max="11" width="12.42578125" customWidth="1"/>
    <col min="12" max="12" width="9.5703125" bestFit="1" customWidth="1"/>
  </cols>
  <sheetData>
    <row r="2" spans="1:10">
      <c r="A2" s="1" t="s">
        <v>25</v>
      </c>
    </row>
    <row r="3" spans="1:10" ht="15.75" thickBot="1">
      <c r="H3">
        <f>G3*2%</f>
        <v>0</v>
      </c>
      <c r="I3">
        <f>H3*18%</f>
        <v>0</v>
      </c>
      <c r="J3">
        <f>H3+I3</f>
        <v>0</v>
      </c>
    </row>
    <row r="4" spans="1:10" ht="66" customHeight="1" thickBot="1">
      <c r="A4" s="5" t="s">
        <v>31</v>
      </c>
    </row>
    <row r="5" spans="1:10" ht="17.25" thickBot="1">
      <c r="A5" s="5" t="s">
        <v>30</v>
      </c>
    </row>
    <row r="6" spans="1:10" ht="17.25" thickBot="1">
      <c r="A6" s="5" t="s">
        <v>29</v>
      </c>
    </row>
    <row r="7" spans="1:10" ht="17.25" thickBot="1">
      <c r="A7" s="5" t="s">
        <v>28</v>
      </c>
    </row>
    <row r="8" spans="1:10" ht="17.25" thickBot="1">
      <c r="A8" s="9"/>
    </row>
    <row r="9" spans="1:10" ht="17.25" thickBot="1">
      <c r="A9" s="5" t="s">
        <v>34</v>
      </c>
      <c r="B9" s="5">
        <v>0</v>
      </c>
      <c r="C9" s="5">
        <f>B9</f>
        <v>0</v>
      </c>
      <c r="D9" s="20"/>
      <c r="E9" s="20"/>
    </row>
    <row r="10" spans="1:10" ht="17.25" thickBot="1">
      <c r="A10" s="5" t="s">
        <v>27</v>
      </c>
      <c r="B10" s="5">
        <v>0</v>
      </c>
      <c r="C10" s="5">
        <f t="shared" ref="C10:C13" si="0">B10</f>
        <v>0</v>
      </c>
      <c r="D10" s="20"/>
      <c r="E10" s="20"/>
    </row>
    <row r="11" spans="1:10" ht="17.25" thickBot="1">
      <c r="A11" s="5" t="s">
        <v>35</v>
      </c>
      <c r="B11" s="5">
        <v>0</v>
      </c>
      <c r="C11" s="5">
        <f t="shared" ref="C11" si="1">B11</f>
        <v>0</v>
      </c>
      <c r="D11" s="20"/>
      <c r="E11" s="20"/>
    </row>
    <row r="12" spans="1:10" ht="17.25" thickBot="1">
      <c r="A12" s="5" t="s">
        <v>87</v>
      </c>
      <c r="B12" s="5">
        <v>0</v>
      </c>
      <c r="C12" s="5">
        <f t="shared" ref="C12" si="2">B12</f>
        <v>0</v>
      </c>
      <c r="D12" s="20"/>
      <c r="E12" s="20"/>
    </row>
    <row r="13" spans="1:10" ht="17.25" thickBot="1">
      <c r="A13" s="5" t="s">
        <v>36</v>
      </c>
      <c r="B13" s="5">
        <v>0</v>
      </c>
      <c r="C13" s="5">
        <f t="shared" si="0"/>
        <v>0</v>
      </c>
      <c r="D13" s="20"/>
      <c r="E13" s="20"/>
    </row>
    <row r="14" spans="1:10" ht="17.25" thickBot="1">
      <c r="A14" s="5" t="s">
        <v>88</v>
      </c>
      <c r="B14" s="5">
        <v>0</v>
      </c>
      <c r="C14" s="5">
        <f>B14</f>
        <v>0</v>
      </c>
      <c r="D14" s="20"/>
      <c r="E14" s="20"/>
    </row>
    <row r="15" spans="1:10" ht="17.25" thickBot="1">
      <c r="A15" s="5" t="s">
        <v>89</v>
      </c>
      <c r="B15" s="5">
        <v>0</v>
      </c>
      <c r="C15" s="103">
        <f>B15</f>
        <v>0</v>
      </c>
      <c r="D15" s="20"/>
      <c r="E15" s="20"/>
    </row>
    <row r="16" spans="1:10" ht="17.25" thickBot="1">
      <c r="A16" s="5" t="s">
        <v>90</v>
      </c>
      <c r="B16" s="5">
        <v>0</v>
      </c>
      <c r="C16" s="5">
        <f>B16*2*25.4/1000</f>
        <v>0</v>
      </c>
      <c r="D16" s="20"/>
      <c r="E16" s="20"/>
    </row>
    <row r="17" spans="1:12" ht="17.25" thickBot="1">
      <c r="A17" s="5" t="s">
        <v>91</v>
      </c>
      <c r="B17" s="5">
        <v>0</v>
      </c>
      <c r="C17" s="5">
        <f>B17*2*25.4/1000</f>
        <v>0</v>
      </c>
      <c r="D17" s="20"/>
      <c r="E17" s="20"/>
    </row>
    <row r="18" spans="1:12" ht="17.25" thickBot="1">
      <c r="A18" s="5" t="s">
        <v>92</v>
      </c>
      <c r="B18" s="5">
        <v>0</v>
      </c>
      <c r="C18" s="5">
        <f>B18</f>
        <v>0</v>
      </c>
      <c r="D18" s="20"/>
      <c r="E18" s="20"/>
    </row>
    <row r="19" spans="1:12" ht="17.25" thickBot="1">
      <c r="A19" s="5" t="s">
        <v>37</v>
      </c>
      <c r="B19" s="5">
        <v>0</v>
      </c>
      <c r="C19" s="5">
        <f>B19</f>
        <v>0</v>
      </c>
      <c r="D19" s="20"/>
      <c r="E19" s="20"/>
    </row>
    <row r="20" spans="1:12" ht="17.25" thickBot="1">
      <c r="A20" s="5" t="s">
        <v>93</v>
      </c>
      <c r="B20" s="5">
        <v>0</v>
      </c>
      <c r="C20" s="5">
        <f>B20</f>
        <v>0</v>
      </c>
      <c r="D20" s="20"/>
      <c r="E20" s="20"/>
    </row>
    <row r="21" spans="1:12" ht="17.25" thickBot="1">
      <c r="A21" s="5" t="s">
        <v>94</v>
      </c>
      <c r="B21" s="5">
        <v>0</v>
      </c>
      <c r="C21" s="5">
        <f>B21</f>
        <v>0</v>
      </c>
      <c r="D21" s="20"/>
      <c r="E21" s="20"/>
    </row>
    <row r="22" spans="1:12" ht="17.25" thickBot="1">
      <c r="A22" s="5" t="s">
        <v>38</v>
      </c>
      <c r="B22" s="5">
        <v>0</v>
      </c>
      <c r="C22" s="5">
        <f t="shared" ref="C22:C23" si="3">B22</f>
        <v>0</v>
      </c>
      <c r="D22" s="20"/>
      <c r="E22" s="20"/>
    </row>
    <row r="23" spans="1:12" ht="17.25" thickBot="1">
      <c r="A23" s="5" t="s">
        <v>95</v>
      </c>
      <c r="B23" s="5">
        <v>0</v>
      </c>
      <c r="C23" s="79">
        <f t="shared" si="3"/>
        <v>0</v>
      </c>
      <c r="D23" s="82" t="s">
        <v>121</v>
      </c>
      <c r="E23" s="20"/>
    </row>
    <row r="24" spans="1:12" s="1" customFormat="1" ht="15.75" thickBot="1">
      <c r="A24" s="28" t="s">
        <v>39</v>
      </c>
      <c r="B24" s="28"/>
      <c r="C24" s="80">
        <f>SUM(C9:C23)</f>
        <v>0</v>
      </c>
      <c r="D24" s="104">
        <f>C24*25%</f>
        <v>0</v>
      </c>
      <c r="E24" s="77" t="s">
        <v>97</v>
      </c>
      <c r="I24" s="76"/>
      <c r="J24" s="76"/>
      <c r="K24" s="76"/>
      <c r="L24" s="76"/>
    </row>
    <row r="25" spans="1:12" s="1" customFormat="1" ht="15.75" thickBot="1">
      <c r="A25" s="28" t="s">
        <v>30</v>
      </c>
      <c r="B25" s="28">
        <v>0</v>
      </c>
      <c r="C25" s="81">
        <f>B25</f>
        <v>0</v>
      </c>
      <c r="D25" s="104">
        <f t="shared" ref="D25:D27" si="4">C25*25%</f>
        <v>0</v>
      </c>
      <c r="E25" s="77" t="s">
        <v>75</v>
      </c>
    </row>
    <row r="26" spans="1:12" s="1" customFormat="1" ht="15.75" thickBot="1">
      <c r="A26" s="28" t="s">
        <v>96</v>
      </c>
      <c r="B26" s="28">
        <v>0</v>
      </c>
      <c r="C26" s="81">
        <f>B26</f>
        <v>0</v>
      </c>
      <c r="D26" s="104">
        <f t="shared" si="4"/>
        <v>0</v>
      </c>
      <c r="E26" s="77" t="s">
        <v>97</v>
      </c>
      <c r="F26" s="1">
        <f>45.359+64.998</f>
        <v>110.357</v>
      </c>
    </row>
    <row r="27" spans="1:12" s="1" customFormat="1" ht="15.75" thickBot="1">
      <c r="A27" s="28" t="s">
        <v>28</v>
      </c>
      <c r="B27" s="78">
        <v>0</v>
      </c>
      <c r="C27" s="81">
        <f t="shared" ref="C27" si="5">B27</f>
        <v>0</v>
      </c>
      <c r="D27" s="104">
        <f t="shared" si="4"/>
        <v>0</v>
      </c>
      <c r="E27" s="77" t="s">
        <v>98</v>
      </c>
      <c r="F27" s="1">
        <f>529.265+888.048</f>
        <v>1417.3130000000001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SheetLayoutView="100" workbookViewId="0">
      <selection activeCell="H25" sqref="H25"/>
    </sheetView>
  </sheetViews>
  <sheetFormatPr defaultRowHeight="15"/>
  <cols>
    <col min="1" max="1" width="17.7109375" customWidth="1"/>
    <col min="2" max="2" width="16.42578125" style="7" customWidth="1"/>
    <col min="3" max="3" width="24.28515625" customWidth="1"/>
    <col min="4" max="4" width="25.85546875" hidden="1" customWidth="1"/>
    <col min="5" max="5" width="25.85546875" customWidth="1"/>
    <col min="6" max="6" width="23.7109375" customWidth="1"/>
    <col min="7" max="7" width="23.7109375" hidden="1" customWidth="1"/>
    <col min="8" max="8" width="19" customWidth="1"/>
    <col min="9" max="10" width="17.85546875" customWidth="1"/>
    <col min="11" max="11" width="42.5703125" customWidth="1"/>
    <col min="12" max="12" width="14.7109375" customWidth="1"/>
    <col min="13" max="13" width="5.140625" customWidth="1"/>
  </cols>
  <sheetData>
    <row r="1" spans="1:14" s="1" customFormat="1" ht="37.5" customHeight="1">
      <c r="A1" s="1" t="s">
        <v>2</v>
      </c>
      <c r="B1" s="6" t="s">
        <v>2</v>
      </c>
      <c r="C1" s="1" t="s">
        <v>9</v>
      </c>
      <c r="D1" s="1" t="s">
        <v>14</v>
      </c>
      <c r="E1" s="1" t="s">
        <v>20</v>
      </c>
      <c r="F1" s="1" t="s">
        <v>17</v>
      </c>
      <c r="G1" s="1" t="s">
        <v>14</v>
      </c>
      <c r="H1" s="1" t="s">
        <v>1</v>
      </c>
      <c r="I1" s="1" t="s">
        <v>7</v>
      </c>
      <c r="J1" s="1" t="s">
        <v>22</v>
      </c>
      <c r="K1" s="1" t="s">
        <v>8</v>
      </c>
      <c r="N1" s="1">
        <v>0</v>
      </c>
    </row>
    <row r="2" spans="1:14">
      <c r="A2" t="s">
        <v>18</v>
      </c>
      <c r="B2" s="25">
        <v>0</v>
      </c>
      <c r="C2">
        <v>0</v>
      </c>
      <c r="D2">
        <v>0</v>
      </c>
      <c r="E2">
        <v>3</v>
      </c>
      <c r="F2">
        <f>E2*C2</f>
        <v>0</v>
      </c>
      <c r="G2">
        <f>D2*E2</f>
        <v>0</v>
      </c>
      <c r="H2">
        <f>F2+G2</f>
        <v>0</v>
      </c>
      <c r="I2">
        <v>0</v>
      </c>
      <c r="J2">
        <f>H2+(I2%*H2)</f>
        <v>0</v>
      </c>
      <c r="K2" t="s">
        <v>21</v>
      </c>
      <c r="L2" t="s">
        <v>18</v>
      </c>
      <c r="M2">
        <v>3</v>
      </c>
      <c r="N2">
        <v>2</v>
      </c>
    </row>
    <row r="3" spans="1:14">
      <c r="B3" s="18"/>
      <c r="C3">
        <v>0</v>
      </c>
      <c r="D3">
        <v>0</v>
      </c>
      <c r="E3">
        <v>3</v>
      </c>
      <c r="F3">
        <f>E3*C3</f>
        <v>0</v>
      </c>
      <c r="G3">
        <f>D3*E3</f>
        <v>0</v>
      </c>
      <c r="H3">
        <f t="shared" ref="H3:H4" si="0">F3+G3</f>
        <v>0</v>
      </c>
      <c r="I3">
        <v>0</v>
      </c>
      <c r="J3">
        <f>H3+(I3%*H3)</f>
        <v>0</v>
      </c>
      <c r="L3" t="s">
        <v>19</v>
      </c>
      <c r="M3">
        <v>6</v>
      </c>
      <c r="N3">
        <v>3</v>
      </c>
    </row>
    <row r="4" spans="1:14">
      <c r="C4">
        <v>0</v>
      </c>
      <c r="E4">
        <v>6</v>
      </c>
      <c r="F4">
        <f>E4*C4</f>
        <v>0</v>
      </c>
      <c r="H4">
        <f t="shared" si="0"/>
        <v>0</v>
      </c>
      <c r="J4">
        <f>H4+(I4%*H4)</f>
        <v>0</v>
      </c>
      <c r="L4" t="s">
        <v>58</v>
      </c>
      <c r="M4">
        <v>1</v>
      </c>
      <c r="N4">
        <v>4</v>
      </c>
    </row>
    <row r="5" spans="1:14">
      <c r="N5">
        <v>5</v>
      </c>
    </row>
    <row r="6" spans="1:14">
      <c r="C6">
        <v>0</v>
      </c>
      <c r="N6">
        <v>6</v>
      </c>
    </row>
    <row r="7" spans="1:14">
      <c r="N7">
        <v>7</v>
      </c>
    </row>
    <row r="8" spans="1:14">
      <c r="B8" s="7">
        <f>SUM(B2:B7)</f>
        <v>0</v>
      </c>
      <c r="N8">
        <v>8</v>
      </c>
    </row>
    <row r="9" spans="1:14">
      <c r="B9" s="8" t="s">
        <v>13</v>
      </c>
      <c r="C9">
        <f>SUM(C2:C8)</f>
        <v>0</v>
      </c>
      <c r="D9" s="2"/>
      <c r="E9" s="2">
        <f>SUM(D2:D8)</f>
        <v>0</v>
      </c>
      <c r="F9" s="3">
        <f>SUM(F2:F8)</f>
        <v>0</v>
      </c>
      <c r="G9" s="2"/>
      <c r="H9" s="2">
        <f>SUM(G2:G8)</f>
        <v>0</v>
      </c>
      <c r="I9" s="2"/>
      <c r="J9" s="2">
        <f>SUM(J2:J8)</f>
        <v>0</v>
      </c>
      <c r="K9" s="3"/>
      <c r="N9">
        <v>9</v>
      </c>
    </row>
    <row r="10" spans="1:14" ht="15.75">
      <c r="H10" t="s">
        <v>23</v>
      </c>
      <c r="I10" s="4"/>
      <c r="J10" s="19" t="str">
        <f>IF(J9=B8,"a","r")</f>
        <v>a</v>
      </c>
      <c r="N10">
        <v>10</v>
      </c>
    </row>
    <row r="12" spans="1:14">
      <c r="B12" s="7" t="s">
        <v>32</v>
      </c>
    </row>
    <row r="13" spans="1:14" s="1" customFormat="1" ht="37.5" customHeight="1">
      <c r="A13" s="1" t="s">
        <v>2</v>
      </c>
      <c r="B13" s="6" t="s">
        <v>2</v>
      </c>
      <c r="C13" s="1" t="s">
        <v>9</v>
      </c>
      <c r="D13" s="1" t="s">
        <v>14</v>
      </c>
      <c r="E13" s="1" t="s">
        <v>20</v>
      </c>
      <c r="F13" s="1" t="s">
        <v>17</v>
      </c>
      <c r="G13" s="1" t="s">
        <v>14</v>
      </c>
      <c r="H13" s="1" t="s">
        <v>1</v>
      </c>
      <c r="I13" s="1" t="s">
        <v>7</v>
      </c>
      <c r="J13" s="1" t="s">
        <v>22</v>
      </c>
      <c r="K13" s="1" t="s">
        <v>8</v>
      </c>
      <c r="N13" s="1">
        <v>0</v>
      </c>
    </row>
    <row r="14" spans="1:14">
      <c r="A14" t="s">
        <v>19</v>
      </c>
      <c r="B14" s="18">
        <v>0</v>
      </c>
      <c r="C14">
        <v>0</v>
      </c>
      <c r="D14">
        <v>0</v>
      </c>
      <c r="E14">
        <v>3</v>
      </c>
      <c r="F14">
        <f>E14*C14</f>
        <v>0</v>
      </c>
      <c r="G14">
        <f>D14*E14</f>
        <v>0</v>
      </c>
      <c r="H14">
        <f>F14+G14</f>
        <v>0</v>
      </c>
      <c r="I14">
        <v>0</v>
      </c>
      <c r="J14">
        <f>H14+(I14%*H14)</f>
        <v>0</v>
      </c>
      <c r="K14" t="s">
        <v>21</v>
      </c>
      <c r="L14" t="s">
        <v>18</v>
      </c>
      <c r="M14">
        <v>3</v>
      </c>
      <c r="N14">
        <v>2</v>
      </c>
    </row>
    <row r="15" spans="1:14">
      <c r="B15" s="18"/>
      <c r="C15">
        <v>0</v>
      </c>
      <c r="D15">
        <v>0</v>
      </c>
      <c r="E15">
        <v>6</v>
      </c>
      <c r="F15">
        <f>E15*C15</f>
        <v>0</v>
      </c>
      <c r="G15">
        <f>D15*E15</f>
        <v>0</v>
      </c>
      <c r="H15">
        <f t="shared" ref="H15" si="1">F15+G15</f>
        <v>0</v>
      </c>
      <c r="I15">
        <v>10</v>
      </c>
      <c r="J15">
        <f>H15+(I15%*H15)</f>
        <v>0</v>
      </c>
      <c r="L15" t="s">
        <v>19</v>
      </c>
      <c r="M15">
        <v>6</v>
      </c>
      <c r="N15">
        <v>3</v>
      </c>
    </row>
    <row r="16" spans="1:14">
      <c r="C16">
        <v>0</v>
      </c>
      <c r="E16">
        <v>3</v>
      </c>
      <c r="N16">
        <v>4</v>
      </c>
    </row>
    <row r="17" spans="2:14">
      <c r="N17">
        <v>5</v>
      </c>
    </row>
    <row r="18" spans="2:14">
      <c r="N18">
        <v>6</v>
      </c>
    </row>
    <row r="19" spans="2:14">
      <c r="N19">
        <v>7</v>
      </c>
    </row>
    <row r="20" spans="2:14">
      <c r="B20" s="7">
        <f>SUM(B14:B19)</f>
        <v>0</v>
      </c>
      <c r="N20">
        <v>8</v>
      </c>
    </row>
    <row r="21" spans="2:14">
      <c r="B21" s="8" t="s">
        <v>13</v>
      </c>
      <c r="C21">
        <f>SUM(C14:C20)</f>
        <v>0</v>
      </c>
      <c r="D21" s="2"/>
      <c r="E21" s="2">
        <f>SUM(D14:D20)</f>
        <v>0</v>
      </c>
      <c r="F21" s="3">
        <f>D21+E21</f>
        <v>0</v>
      </c>
      <c r="G21" s="2">
        <f>SUM(F14:F20)</f>
        <v>0</v>
      </c>
      <c r="H21" s="2">
        <f>SUM(G14:G20)</f>
        <v>0</v>
      </c>
      <c r="I21" s="2"/>
      <c r="J21" s="2">
        <f>SUM(J14:J20)</f>
        <v>0</v>
      </c>
      <c r="K21" s="3"/>
      <c r="N21">
        <v>9</v>
      </c>
    </row>
    <row r="22" spans="2:14" ht="15.75">
      <c r="H22" t="s">
        <v>23</v>
      </c>
      <c r="I22" s="4"/>
      <c r="J22" s="19" t="str">
        <f>IF(J21=B20,"a","r")</f>
        <v>a</v>
      </c>
      <c r="N22">
        <v>10</v>
      </c>
    </row>
    <row r="27" spans="2:14">
      <c r="F27">
        <f>26/6</f>
        <v>4.333333333333333</v>
      </c>
    </row>
  </sheetData>
  <dataValidations count="6">
    <dataValidation type="list" allowBlank="1" showInputMessage="1" showErrorMessage="1" sqref="I16:I19 I4:I7">
      <formula1>$N$2:$N$10</formula1>
    </dataValidation>
    <dataValidation type="list" allowBlank="1" showInputMessage="1" showErrorMessage="1" sqref="E2:E3 E15">
      <formula1>$M$2:$M$3</formula1>
    </dataValidation>
    <dataValidation type="list" allowBlank="1" showInputMessage="1" showErrorMessage="1" sqref="A2:A12 A15:A27">
      <formula1>$L$2:$L$3</formula1>
    </dataValidation>
    <dataValidation type="list" allowBlank="1" showInputMessage="1" showErrorMessage="1" sqref="I14:I15 I2:I3">
      <formula1>$N$1:$N$10</formula1>
    </dataValidation>
    <dataValidation type="list" allowBlank="1" showInputMessage="1" showErrorMessage="1" sqref="A14">
      <formula1>$L$2:$L$6</formula1>
    </dataValidation>
    <dataValidation type="list" allowBlank="1" showInputMessage="1" showErrorMessage="1" sqref="E14">
      <formula1>$M$2:$M$4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7" sqref="F27"/>
    </sheetView>
  </sheetViews>
  <sheetFormatPr defaultRowHeight="15"/>
  <cols>
    <col min="1" max="2" width="24" customWidth="1"/>
    <col min="3" max="3" width="15.5703125" customWidth="1"/>
  </cols>
  <sheetData>
    <row r="1" spans="1:7">
      <c r="C1" t="s">
        <v>46</v>
      </c>
      <c r="F1" t="s">
        <v>47</v>
      </c>
    </row>
    <row r="2" spans="1:7">
      <c r="A2" s="2" t="s">
        <v>42</v>
      </c>
      <c r="B2" s="2"/>
      <c r="C2">
        <f>25.4*8.09/1000</f>
        <v>0.205486</v>
      </c>
      <c r="D2" t="s">
        <v>41</v>
      </c>
      <c r="F2">
        <v>0</v>
      </c>
    </row>
    <row r="3" spans="1:7">
      <c r="A3" s="2" t="s">
        <v>54</v>
      </c>
      <c r="B3" s="2">
        <v>49.8</v>
      </c>
    </row>
    <row r="4" spans="1:7">
      <c r="A4" s="2" t="s">
        <v>48</v>
      </c>
      <c r="B4" s="2">
        <v>14.45</v>
      </c>
      <c r="C4">
        <v>4.05</v>
      </c>
      <c r="D4" t="s">
        <v>40</v>
      </c>
      <c r="F4">
        <v>1.89</v>
      </c>
    </row>
    <row r="5" spans="1:7">
      <c r="A5" s="2" t="s">
        <v>49</v>
      </c>
      <c r="B5" s="2">
        <v>15.66</v>
      </c>
      <c r="C5">
        <v>3.89</v>
      </c>
      <c r="D5" t="s">
        <v>40</v>
      </c>
      <c r="F5">
        <v>0</v>
      </c>
    </row>
    <row r="6" spans="1:7">
      <c r="A6" s="2" t="s">
        <v>50</v>
      </c>
      <c r="B6" s="2"/>
      <c r="C6">
        <v>0.55000000000000004</v>
      </c>
      <c r="D6" t="s">
        <v>40</v>
      </c>
      <c r="F6">
        <v>0.42</v>
      </c>
    </row>
    <row r="7" spans="1:7">
      <c r="A7" s="2" t="s">
        <v>51</v>
      </c>
      <c r="B7" s="2"/>
      <c r="C7">
        <v>5.0599999999999996</v>
      </c>
      <c r="D7" t="s">
        <v>40</v>
      </c>
      <c r="F7">
        <v>4.92</v>
      </c>
    </row>
    <row r="8" spans="1:7">
      <c r="A8" s="2" t="s">
        <v>52</v>
      </c>
      <c r="B8" s="2"/>
      <c r="C8">
        <v>16.98</v>
      </c>
      <c r="D8" t="s">
        <v>40</v>
      </c>
      <c r="F8">
        <v>17.559999999999999</v>
      </c>
    </row>
    <row r="9" spans="1:7">
      <c r="A9" s="26" t="s">
        <v>53</v>
      </c>
      <c r="B9" s="26">
        <f>SUM(B3:B8)</f>
        <v>79.91</v>
      </c>
      <c r="C9">
        <f>SUM(C2:C8)</f>
        <v>30.735486000000002</v>
      </c>
      <c r="D9">
        <f t="shared" ref="D9:E9" si="0">SUM(D2:D8)</f>
        <v>0</v>
      </c>
      <c r="E9">
        <f t="shared" si="0"/>
        <v>0</v>
      </c>
      <c r="F9">
        <f>SUM(F2:F8)</f>
        <v>24.79</v>
      </c>
      <c r="G9">
        <f>C9+F9</f>
        <v>55.525486000000001</v>
      </c>
    </row>
    <row r="10" spans="1:7">
      <c r="A10" t="s">
        <v>43</v>
      </c>
      <c r="B10">
        <v>5.8</v>
      </c>
      <c r="C10">
        <v>9.52</v>
      </c>
      <c r="G10">
        <f>C10+F10</f>
        <v>9.52</v>
      </c>
    </row>
    <row r="11" spans="1:7">
      <c r="A11" t="s">
        <v>44</v>
      </c>
      <c r="C11">
        <v>1335</v>
      </c>
      <c r="F11">
        <v>500</v>
      </c>
      <c r="G11">
        <f t="shared" ref="G11:G12" si="1">C11+F11</f>
        <v>1835</v>
      </c>
    </row>
    <row r="12" spans="1:7">
      <c r="A12" t="s">
        <v>45</v>
      </c>
      <c r="C12">
        <v>107</v>
      </c>
      <c r="G12">
        <f t="shared" si="1"/>
        <v>107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zoomScale="85" zoomScaleNormal="85" workbookViewId="0">
      <selection activeCell="D21" sqref="D21"/>
    </sheetView>
  </sheetViews>
  <sheetFormatPr defaultRowHeight="15"/>
  <cols>
    <col min="1" max="1" width="24.140625" customWidth="1"/>
    <col min="2" max="2" width="16.42578125" customWidth="1"/>
    <col min="3" max="3" width="24.28515625" customWidth="1"/>
    <col min="4" max="4" width="19.42578125" customWidth="1"/>
    <col min="5" max="5" width="22.28515625" hidden="1" customWidth="1"/>
    <col min="6" max="7" width="23.7109375" customWidth="1"/>
    <col min="8" max="8" width="19" hidden="1" customWidth="1"/>
    <col min="10" max="10" width="13.85546875" customWidth="1"/>
    <col min="11" max="11" width="12" customWidth="1"/>
    <col min="12" max="12" width="40.5703125" bestFit="1" customWidth="1"/>
  </cols>
  <sheetData>
    <row r="1" spans="1:16" s="1" customFormat="1" ht="37.5" customHeight="1">
      <c r="A1" s="10" t="s">
        <v>2</v>
      </c>
      <c r="B1" s="10" t="s">
        <v>2</v>
      </c>
      <c r="C1" s="10" t="s">
        <v>5</v>
      </c>
      <c r="D1" s="10" t="s">
        <v>6</v>
      </c>
      <c r="E1" s="10" t="s">
        <v>14</v>
      </c>
      <c r="F1" s="10" t="s">
        <v>10</v>
      </c>
      <c r="G1" s="10" t="s">
        <v>17</v>
      </c>
      <c r="H1" s="10"/>
      <c r="I1" s="10" t="s">
        <v>1</v>
      </c>
      <c r="J1" s="10" t="s">
        <v>15</v>
      </c>
      <c r="K1" s="10" t="s">
        <v>16</v>
      </c>
      <c r="L1" s="10" t="s">
        <v>8</v>
      </c>
    </row>
    <row r="2" spans="1:16">
      <c r="A2" s="11" t="s">
        <v>3</v>
      </c>
      <c r="B2" s="21"/>
      <c r="C2" s="11" t="s">
        <v>12</v>
      </c>
      <c r="D2" s="22">
        <v>0</v>
      </c>
      <c r="E2" s="11">
        <v>0</v>
      </c>
      <c r="F2" s="11">
        <v>2</v>
      </c>
      <c r="G2" s="11">
        <f>F2*D2</f>
        <v>0</v>
      </c>
      <c r="H2" s="11">
        <f>E2*F2</f>
        <v>0</v>
      </c>
      <c r="I2" s="11">
        <f>G2+H2</f>
        <v>0</v>
      </c>
      <c r="J2" s="11">
        <f t="shared" ref="J2:J10" si="0">IF(F2&gt;1,(F2-1),0)</f>
        <v>1</v>
      </c>
      <c r="K2" s="11">
        <f>J2*(D2+E2)</f>
        <v>0</v>
      </c>
      <c r="L2" s="11" t="s">
        <v>11</v>
      </c>
      <c r="N2">
        <v>1</v>
      </c>
    </row>
    <row r="3" spans="1:16">
      <c r="A3" s="11"/>
      <c r="B3" s="11"/>
      <c r="C3" s="11" t="s">
        <v>12</v>
      </c>
      <c r="D3" s="22">
        <v>0</v>
      </c>
      <c r="E3" s="11">
        <v>0</v>
      </c>
      <c r="F3" s="11">
        <v>2</v>
      </c>
      <c r="G3" s="11">
        <f t="shared" ref="G3:G10" si="1">F3*D3</f>
        <v>0</v>
      </c>
      <c r="H3" s="11">
        <f t="shared" ref="H3:H13" si="2">E3*F3</f>
        <v>0</v>
      </c>
      <c r="I3" s="11">
        <f t="shared" ref="I3:I13" si="3">G3+H3</f>
        <v>0</v>
      </c>
      <c r="J3" s="11">
        <f t="shared" si="0"/>
        <v>1</v>
      </c>
      <c r="K3" s="11">
        <f t="shared" ref="K3:K8" si="4">J3*(D3+E3)</f>
        <v>0</v>
      </c>
      <c r="L3" s="11"/>
      <c r="N3">
        <v>2</v>
      </c>
    </row>
    <row r="4" spans="1:16">
      <c r="A4" s="11"/>
      <c r="B4" s="11"/>
      <c r="C4" s="11" t="s">
        <v>12</v>
      </c>
      <c r="D4" s="12">
        <v>0</v>
      </c>
      <c r="E4" s="11">
        <v>0</v>
      </c>
      <c r="F4" s="11">
        <v>2</v>
      </c>
      <c r="G4" s="11">
        <f t="shared" si="1"/>
        <v>0</v>
      </c>
      <c r="H4" s="11">
        <f t="shared" si="2"/>
        <v>0</v>
      </c>
      <c r="I4" s="11">
        <f t="shared" si="3"/>
        <v>0</v>
      </c>
      <c r="J4" s="11">
        <f t="shared" si="0"/>
        <v>1</v>
      </c>
      <c r="K4" s="11">
        <f t="shared" si="4"/>
        <v>0</v>
      </c>
      <c r="L4" s="11"/>
      <c r="N4">
        <v>3</v>
      </c>
    </row>
    <row r="5" spans="1:16">
      <c r="A5" s="11"/>
      <c r="B5" s="11"/>
      <c r="C5" s="11" t="s">
        <v>12</v>
      </c>
      <c r="D5" s="12">
        <v>0</v>
      </c>
      <c r="E5" s="11">
        <v>0</v>
      </c>
      <c r="F5" s="11">
        <v>2</v>
      </c>
      <c r="G5" s="11">
        <f t="shared" si="1"/>
        <v>0</v>
      </c>
      <c r="H5" s="11">
        <f t="shared" si="2"/>
        <v>0</v>
      </c>
      <c r="I5" s="11">
        <f t="shared" si="3"/>
        <v>0</v>
      </c>
      <c r="J5" s="11">
        <f t="shared" si="0"/>
        <v>1</v>
      </c>
      <c r="K5" s="11">
        <f t="shared" si="4"/>
        <v>0</v>
      </c>
      <c r="L5" s="11"/>
      <c r="N5">
        <v>4</v>
      </c>
      <c r="P5">
        <f>250*5</f>
        <v>1250</v>
      </c>
    </row>
    <row r="6" spans="1:16">
      <c r="A6" s="11"/>
      <c r="B6" s="11"/>
      <c r="C6" s="11" t="s">
        <v>12</v>
      </c>
      <c r="D6" s="12">
        <v>0</v>
      </c>
      <c r="E6" s="11">
        <v>0</v>
      </c>
      <c r="F6" s="11">
        <v>2</v>
      </c>
      <c r="G6" s="11">
        <f t="shared" si="1"/>
        <v>0</v>
      </c>
      <c r="H6" s="11">
        <f t="shared" si="2"/>
        <v>0</v>
      </c>
      <c r="I6" s="11">
        <f t="shared" si="3"/>
        <v>0</v>
      </c>
      <c r="J6" s="11">
        <f t="shared" si="0"/>
        <v>1</v>
      </c>
      <c r="K6" s="11">
        <f t="shared" si="4"/>
        <v>0</v>
      </c>
      <c r="L6" s="11"/>
      <c r="N6">
        <v>5</v>
      </c>
      <c r="P6">
        <f>2620*2</f>
        <v>5240</v>
      </c>
    </row>
    <row r="7" spans="1:16">
      <c r="A7" s="11"/>
      <c r="B7" s="11"/>
      <c r="C7" s="11" t="s">
        <v>12</v>
      </c>
      <c r="D7" s="27">
        <v>0</v>
      </c>
      <c r="E7" s="11">
        <v>0</v>
      </c>
      <c r="F7" s="11">
        <v>2</v>
      </c>
      <c r="G7" s="11">
        <f t="shared" si="1"/>
        <v>0</v>
      </c>
      <c r="H7" s="11">
        <f t="shared" si="2"/>
        <v>0</v>
      </c>
      <c r="I7" s="11">
        <f t="shared" si="3"/>
        <v>0</v>
      </c>
      <c r="J7" s="11">
        <f t="shared" si="0"/>
        <v>1</v>
      </c>
      <c r="K7" s="11">
        <f t="shared" si="4"/>
        <v>0</v>
      </c>
      <c r="L7" s="11"/>
      <c r="N7">
        <v>6</v>
      </c>
      <c r="P7">
        <v>1600</v>
      </c>
    </row>
    <row r="8" spans="1:16">
      <c r="A8" s="11"/>
      <c r="B8" s="11"/>
      <c r="C8" s="11" t="s">
        <v>12</v>
      </c>
      <c r="D8" s="13">
        <v>0</v>
      </c>
      <c r="E8" s="11">
        <v>0</v>
      </c>
      <c r="F8" s="11">
        <v>2</v>
      </c>
      <c r="G8" s="11">
        <f t="shared" si="1"/>
        <v>0</v>
      </c>
      <c r="H8" s="11">
        <f t="shared" si="2"/>
        <v>0</v>
      </c>
      <c r="I8" s="11">
        <f t="shared" si="3"/>
        <v>0</v>
      </c>
      <c r="J8" s="11">
        <f t="shared" si="0"/>
        <v>1</v>
      </c>
      <c r="K8" s="11">
        <f t="shared" si="4"/>
        <v>0</v>
      </c>
      <c r="L8" s="11"/>
      <c r="P8">
        <f>305*2</f>
        <v>610</v>
      </c>
    </row>
    <row r="9" spans="1:16">
      <c r="A9" s="11"/>
      <c r="B9" s="11"/>
      <c r="C9" s="11" t="s">
        <v>12</v>
      </c>
      <c r="D9" s="13">
        <v>0</v>
      </c>
      <c r="E9" s="11"/>
      <c r="F9" s="11">
        <v>2</v>
      </c>
      <c r="G9" s="11">
        <f t="shared" si="1"/>
        <v>0</v>
      </c>
      <c r="H9" s="11"/>
      <c r="I9" s="11">
        <f t="shared" si="3"/>
        <v>0</v>
      </c>
      <c r="J9" s="11">
        <f t="shared" si="0"/>
        <v>1</v>
      </c>
      <c r="K9" s="11"/>
      <c r="L9" s="11"/>
    </row>
    <row r="10" spans="1:16">
      <c r="A10" s="11"/>
      <c r="B10" s="11"/>
      <c r="C10" s="11" t="s">
        <v>12</v>
      </c>
      <c r="D10" s="13">
        <v>0</v>
      </c>
      <c r="E10" s="11"/>
      <c r="F10" s="11">
        <v>3</v>
      </c>
      <c r="G10" s="11">
        <f t="shared" si="1"/>
        <v>0</v>
      </c>
      <c r="H10" s="11"/>
      <c r="I10" s="11">
        <f t="shared" si="3"/>
        <v>0</v>
      </c>
      <c r="J10" s="11">
        <f t="shared" si="0"/>
        <v>2</v>
      </c>
      <c r="K10" s="11"/>
      <c r="L10" s="11"/>
    </row>
    <row r="11" spans="1:16">
      <c r="A11" s="11"/>
      <c r="B11" s="11"/>
      <c r="C11" s="14" t="s">
        <v>13</v>
      </c>
      <c r="D11" s="15">
        <f>SUM(D2:E10)</f>
        <v>0</v>
      </c>
      <c r="E11" s="14">
        <f>SUM(E2:E8)</f>
        <v>0</v>
      </c>
      <c r="F11" s="16">
        <f>D11+E11</f>
        <v>0</v>
      </c>
      <c r="G11" s="14">
        <f>SUM(G2:G10)</f>
        <v>0</v>
      </c>
      <c r="H11" s="14">
        <f>SUM(H2:H8)</f>
        <v>0</v>
      </c>
      <c r="I11" s="14">
        <f>SUM(I2:I10)</f>
        <v>0</v>
      </c>
      <c r="J11" s="11"/>
      <c r="K11" s="16">
        <f>SUM(K2:K8)</f>
        <v>0</v>
      </c>
      <c r="L11" s="11"/>
    </row>
    <row r="12" spans="1:16">
      <c r="A12" s="11"/>
      <c r="B12" s="11"/>
      <c r="C12" s="11" t="s">
        <v>0</v>
      </c>
      <c r="D12" s="11">
        <v>30</v>
      </c>
      <c r="E12" s="11">
        <v>0</v>
      </c>
      <c r="F12" s="11">
        <v>1</v>
      </c>
      <c r="G12" s="11">
        <f>D12*F12</f>
        <v>30</v>
      </c>
      <c r="H12" s="11">
        <f t="shared" si="2"/>
        <v>0</v>
      </c>
      <c r="I12" s="11">
        <f t="shared" si="3"/>
        <v>30</v>
      </c>
      <c r="J12" s="11"/>
      <c r="K12" s="11"/>
      <c r="L12" s="11"/>
    </row>
    <row r="13" spans="1:16">
      <c r="A13" s="11"/>
      <c r="B13" s="11"/>
      <c r="C13" s="11" t="s">
        <v>0</v>
      </c>
      <c r="D13" s="11">
        <v>0</v>
      </c>
      <c r="E13" s="11">
        <v>0</v>
      </c>
      <c r="F13" s="11">
        <v>1</v>
      </c>
      <c r="G13" s="11">
        <f t="shared" ref="G13" si="5">F13*D13</f>
        <v>0</v>
      </c>
      <c r="H13" s="11">
        <f t="shared" si="2"/>
        <v>0</v>
      </c>
      <c r="I13" s="11">
        <f t="shared" si="3"/>
        <v>0</v>
      </c>
      <c r="J13" s="11"/>
      <c r="K13" s="11"/>
      <c r="L13" s="11"/>
      <c r="N13" s="23">
        <f>I14-B2</f>
        <v>30</v>
      </c>
    </row>
    <row r="14" spans="1:16">
      <c r="A14" s="11"/>
      <c r="B14" s="11"/>
      <c r="C14" s="11"/>
      <c r="D14" s="11"/>
      <c r="E14" s="11"/>
      <c r="F14" s="14" t="s">
        <v>1</v>
      </c>
      <c r="G14" s="14">
        <f>G13+G12+G11</f>
        <v>30</v>
      </c>
      <c r="H14" s="14">
        <f>H13+H12+H11</f>
        <v>0</v>
      </c>
      <c r="I14" s="16">
        <f>SUM(I12:I13)+I11</f>
        <v>30</v>
      </c>
      <c r="J14" s="11"/>
      <c r="K14" s="11"/>
      <c r="L14" s="11"/>
    </row>
    <row r="15" spans="1:16" ht="15.75">
      <c r="A15" s="11"/>
      <c r="B15" s="11"/>
      <c r="C15" s="11"/>
      <c r="D15" s="11"/>
      <c r="E15" s="11"/>
      <c r="F15" s="11"/>
      <c r="G15" s="11"/>
      <c r="H15" s="11"/>
      <c r="I15" s="17" t="str">
        <f>IF(I14=B2,"a","r")</f>
        <v>r</v>
      </c>
      <c r="J15" s="11"/>
      <c r="K15" s="11"/>
      <c r="L15" s="11"/>
    </row>
    <row r="16" spans="1:16">
      <c r="A16" s="11"/>
      <c r="B16" s="11"/>
      <c r="C16" s="11"/>
      <c r="D16" s="11">
        <v>0</v>
      </c>
      <c r="E16" s="11"/>
      <c r="F16" s="11"/>
      <c r="G16" s="11">
        <f t="shared" ref="G16" si="6">F16*D16</f>
        <v>0</v>
      </c>
      <c r="H16" s="11">
        <f>E16*F16</f>
        <v>0</v>
      </c>
      <c r="I16" s="11">
        <f t="shared" ref="I16" si="7">G16+H16</f>
        <v>0</v>
      </c>
      <c r="J16" s="11">
        <f>IF(F16&gt;1,(F16-1),0)</f>
        <v>0</v>
      </c>
      <c r="K16" s="11">
        <f t="shared" ref="K16:K27" si="8">J16*(D16+E16)</f>
        <v>0</v>
      </c>
      <c r="L16" s="11"/>
    </row>
    <row r="17" spans="1:16">
      <c r="A17" s="11" t="s">
        <v>4</v>
      </c>
      <c r="B17" s="23"/>
      <c r="C17" s="11" t="s">
        <v>12</v>
      </c>
      <c r="D17" s="24"/>
      <c r="E17" s="11">
        <v>0</v>
      </c>
      <c r="F17" s="11">
        <v>1</v>
      </c>
      <c r="G17" s="11">
        <f>F17*D17</f>
        <v>0</v>
      </c>
      <c r="H17" s="11">
        <f>E17*F17</f>
        <v>0</v>
      </c>
      <c r="I17" s="11">
        <f>G17+H17</f>
        <v>0</v>
      </c>
      <c r="J17" s="11">
        <f t="shared" ref="J17:J27" si="9">IF(F17&gt;1,(F17-1),0)</f>
        <v>0</v>
      </c>
      <c r="K17" s="11">
        <f t="shared" si="8"/>
        <v>0</v>
      </c>
      <c r="L17" s="11" t="s">
        <v>11</v>
      </c>
    </row>
    <row r="18" spans="1:16">
      <c r="A18" s="11"/>
      <c r="B18" s="11"/>
      <c r="C18" s="11" t="s">
        <v>12</v>
      </c>
      <c r="D18" s="22">
        <v>0</v>
      </c>
      <c r="E18" s="11">
        <v>0</v>
      </c>
      <c r="F18" s="11">
        <v>1</v>
      </c>
      <c r="G18" s="11">
        <f t="shared" ref="G18" si="10">F18*D18</f>
        <v>0</v>
      </c>
      <c r="H18" s="11">
        <f t="shared" ref="H18:H23" si="11">E18*F18</f>
        <v>0</v>
      </c>
      <c r="I18" s="11">
        <f t="shared" ref="I18:I27" si="12">G18+H18</f>
        <v>0</v>
      </c>
      <c r="J18" s="11">
        <f t="shared" si="9"/>
        <v>0</v>
      </c>
      <c r="K18" s="11">
        <f t="shared" si="8"/>
        <v>0</v>
      </c>
      <c r="L18" s="11"/>
    </row>
    <row r="19" spans="1:16">
      <c r="A19" s="11"/>
      <c r="B19" s="11"/>
      <c r="C19" s="11" t="s">
        <v>12</v>
      </c>
      <c r="D19" s="22">
        <v>0</v>
      </c>
      <c r="E19" s="11">
        <v>0</v>
      </c>
      <c r="F19" s="11">
        <v>1</v>
      </c>
      <c r="G19" s="11">
        <f>F19*D19</f>
        <v>0</v>
      </c>
      <c r="H19" s="11">
        <f t="shared" si="11"/>
        <v>0</v>
      </c>
      <c r="I19" s="11">
        <f t="shared" si="12"/>
        <v>0</v>
      </c>
      <c r="J19" s="11">
        <f t="shared" si="9"/>
        <v>0</v>
      </c>
      <c r="K19" s="11">
        <f t="shared" si="8"/>
        <v>0</v>
      </c>
      <c r="L19" s="11"/>
      <c r="P19">
        <f>250*6</f>
        <v>1500</v>
      </c>
    </row>
    <row r="20" spans="1:16">
      <c r="A20" s="11"/>
      <c r="B20" s="11"/>
      <c r="C20" s="11" t="s">
        <v>12</v>
      </c>
      <c r="D20" s="22">
        <v>0</v>
      </c>
      <c r="E20" s="11">
        <v>0</v>
      </c>
      <c r="F20" s="11">
        <v>2</v>
      </c>
      <c r="G20" s="11">
        <f>F20*D20</f>
        <v>0</v>
      </c>
      <c r="H20" s="11">
        <f t="shared" si="11"/>
        <v>0</v>
      </c>
      <c r="I20" s="11">
        <f t="shared" si="12"/>
        <v>0</v>
      </c>
      <c r="J20" s="11">
        <f t="shared" si="9"/>
        <v>1</v>
      </c>
      <c r="K20" s="11">
        <f t="shared" si="8"/>
        <v>0</v>
      </c>
      <c r="L20" s="11"/>
      <c r="P20">
        <f>400*5</f>
        <v>2000</v>
      </c>
    </row>
    <row r="21" spans="1:16">
      <c r="A21" s="11"/>
      <c r="B21" s="11"/>
      <c r="C21" s="11" t="s">
        <v>12</v>
      </c>
      <c r="D21" s="22">
        <v>0</v>
      </c>
      <c r="E21" s="11">
        <v>0</v>
      </c>
      <c r="F21" s="11">
        <v>2</v>
      </c>
      <c r="G21" s="11">
        <f t="shared" ref="G21:G27" si="13">F21*D21</f>
        <v>0</v>
      </c>
      <c r="H21" s="11">
        <f t="shared" si="11"/>
        <v>0</v>
      </c>
      <c r="I21" s="11">
        <f t="shared" si="12"/>
        <v>0</v>
      </c>
      <c r="J21" s="11">
        <f t="shared" si="9"/>
        <v>1</v>
      </c>
      <c r="K21" s="11">
        <f t="shared" si="8"/>
        <v>0</v>
      </c>
      <c r="L21" s="11"/>
      <c r="P21">
        <f>1200*4</f>
        <v>4800</v>
      </c>
    </row>
    <row r="22" spans="1:16">
      <c r="A22" s="11"/>
      <c r="B22" s="11"/>
      <c r="C22" s="11" t="s">
        <v>12</v>
      </c>
      <c r="D22" s="22">
        <v>0</v>
      </c>
      <c r="E22" s="11">
        <v>0</v>
      </c>
      <c r="F22" s="11">
        <v>2</v>
      </c>
      <c r="G22" s="11">
        <f t="shared" si="13"/>
        <v>0</v>
      </c>
      <c r="H22" s="11">
        <f t="shared" si="11"/>
        <v>0</v>
      </c>
      <c r="I22" s="11">
        <f t="shared" si="12"/>
        <v>0</v>
      </c>
      <c r="J22" s="11">
        <f t="shared" si="9"/>
        <v>1</v>
      </c>
      <c r="K22" s="11">
        <f t="shared" si="8"/>
        <v>0</v>
      </c>
      <c r="L22" s="11"/>
      <c r="P22">
        <f>320*3</f>
        <v>960</v>
      </c>
    </row>
    <row r="23" spans="1:16">
      <c r="A23" s="11"/>
      <c r="B23" s="11"/>
      <c r="C23" s="11" t="s">
        <v>12</v>
      </c>
      <c r="D23" s="22">
        <v>0</v>
      </c>
      <c r="E23" s="11">
        <v>0</v>
      </c>
      <c r="F23" s="11">
        <v>3</v>
      </c>
      <c r="G23" s="11">
        <f t="shared" si="13"/>
        <v>0</v>
      </c>
      <c r="H23" s="11">
        <f t="shared" si="11"/>
        <v>0</v>
      </c>
      <c r="I23" s="11">
        <f t="shared" si="12"/>
        <v>0</v>
      </c>
      <c r="J23" s="11">
        <f t="shared" si="9"/>
        <v>2</v>
      </c>
      <c r="K23" s="11">
        <f t="shared" si="8"/>
        <v>0</v>
      </c>
      <c r="L23" s="11"/>
      <c r="P23">
        <f>650*2</f>
        <v>1300</v>
      </c>
    </row>
    <row r="24" spans="1:16">
      <c r="A24" s="11"/>
      <c r="B24" s="11"/>
      <c r="C24" s="11" t="s">
        <v>12</v>
      </c>
      <c r="D24" s="22">
        <v>0</v>
      </c>
      <c r="E24" s="11"/>
      <c r="F24" s="11">
        <v>3</v>
      </c>
      <c r="G24" s="11">
        <f t="shared" si="13"/>
        <v>0</v>
      </c>
      <c r="H24" s="11"/>
      <c r="I24" s="11">
        <f t="shared" si="12"/>
        <v>0</v>
      </c>
      <c r="J24" s="11">
        <f t="shared" si="9"/>
        <v>2</v>
      </c>
      <c r="K24" s="11">
        <f t="shared" si="8"/>
        <v>0</v>
      </c>
      <c r="L24" s="11"/>
      <c r="P24">
        <v>670</v>
      </c>
    </row>
    <row r="25" spans="1:16">
      <c r="A25" s="11"/>
      <c r="B25" s="11"/>
      <c r="C25" s="11" t="s">
        <v>12</v>
      </c>
      <c r="D25" s="22">
        <v>0</v>
      </c>
      <c r="E25" s="11"/>
      <c r="F25" s="11">
        <v>3</v>
      </c>
      <c r="G25" s="11">
        <f t="shared" si="13"/>
        <v>0</v>
      </c>
      <c r="H25" s="11"/>
      <c r="I25" s="11">
        <f t="shared" si="12"/>
        <v>0</v>
      </c>
      <c r="J25" s="11">
        <f t="shared" si="9"/>
        <v>2</v>
      </c>
      <c r="K25" s="11">
        <f t="shared" si="8"/>
        <v>0</v>
      </c>
      <c r="L25" s="11"/>
      <c r="N25">
        <f>965/3</f>
        <v>321.66666666666669</v>
      </c>
    </row>
    <row r="26" spans="1:16">
      <c r="A26" s="11"/>
      <c r="B26" s="11"/>
      <c r="C26" s="11" t="s">
        <v>12</v>
      </c>
      <c r="D26" s="22">
        <v>0</v>
      </c>
      <c r="E26" s="11"/>
      <c r="F26" s="11">
        <v>6</v>
      </c>
      <c r="G26" s="11">
        <f t="shared" si="13"/>
        <v>0</v>
      </c>
      <c r="H26" s="11"/>
      <c r="I26" s="11">
        <f t="shared" si="12"/>
        <v>0</v>
      </c>
      <c r="J26" s="11">
        <f t="shared" si="9"/>
        <v>5</v>
      </c>
      <c r="K26" s="11">
        <f t="shared" si="8"/>
        <v>0</v>
      </c>
      <c r="L26" s="11"/>
      <c r="N26">
        <f>70/3</f>
        <v>23.333333333333332</v>
      </c>
    </row>
    <row r="27" spans="1:16">
      <c r="A27" s="11"/>
      <c r="B27" s="11"/>
      <c r="C27" s="11"/>
      <c r="D27" s="22">
        <v>0</v>
      </c>
      <c r="E27" s="11"/>
      <c r="F27" s="11">
        <v>6</v>
      </c>
      <c r="G27" s="11">
        <f t="shared" si="13"/>
        <v>0</v>
      </c>
      <c r="H27" s="11"/>
      <c r="I27" s="11">
        <f t="shared" si="12"/>
        <v>0</v>
      </c>
      <c r="J27" s="11">
        <f t="shared" si="9"/>
        <v>5</v>
      </c>
      <c r="K27" s="11">
        <f t="shared" si="8"/>
        <v>0</v>
      </c>
      <c r="L27" s="11"/>
    </row>
    <row r="28" spans="1:16">
      <c r="A28" s="11"/>
      <c r="B28" s="11"/>
      <c r="C28" s="14" t="s">
        <v>13</v>
      </c>
      <c r="D28" s="15">
        <f>SUM(D16:D27)</f>
        <v>0</v>
      </c>
      <c r="E28" s="14">
        <f>SUM(E17:E23)</f>
        <v>0</v>
      </c>
      <c r="F28" s="16">
        <f>D28+E28</f>
        <v>0</v>
      </c>
      <c r="G28" s="14">
        <f>SUM(G17:H26)</f>
        <v>0</v>
      </c>
      <c r="H28" s="14">
        <f>SUM(H17:H23)</f>
        <v>0</v>
      </c>
      <c r="I28" s="14">
        <f>SUM(I17:I27)</f>
        <v>0</v>
      </c>
      <c r="J28" s="11"/>
      <c r="K28" s="16">
        <f>SUM(K17:K26)</f>
        <v>0</v>
      </c>
      <c r="L28" s="11"/>
    </row>
    <row r="29" spans="1:16">
      <c r="A29" s="11"/>
      <c r="B29" s="11"/>
      <c r="C29" s="11" t="s">
        <v>0</v>
      </c>
      <c r="D29" s="11">
        <v>0</v>
      </c>
      <c r="E29" s="11">
        <v>0</v>
      </c>
      <c r="F29" s="11">
        <v>2</v>
      </c>
      <c r="G29" s="11">
        <f t="shared" ref="G29:G30" si="14">F29*D29</f>
        <v>0</v>
      </c>
      <c r="H29" s="11">
        <f t="shared" ref="H29:H30" si="15">E29*F29</f>
        <v>0</v>
      </c>
      <c r="I29" s="11">
        <f t="shared" ref="I29:I30" si="16">G29+H29</f>
        <v>0</v>
      </c>
      <c r="J29" s="11"/>
      <c r="K29" s="11"/>
      <c r="L29" s="11"/>
    </row>
    <row r="30" spans="1:16">
      <c r="A30" s="11"/>
      <c r="B30" s="11"/>
      <c r="C30" s="11" t="s">
        <v>0</v>
      </c>
      <c r="D30" s="11">
        <v>0</v>
      </c>
      <c r="E30" s="11">
        <v>0</v>
      </c>
      <c r="F30" s="11">
        <v>1</v>
      </c>
      <c r="G30" s="11">
        <f t="shared" si="14"/>
        <v>0</v>
      </c>
      <c r="H30" s="11">
        <f t="shared" si="15"/>
        <v>0</v>
      </c>
      <c r="I30" s="11">
        <f t="shared" si="16"/>
        <v>0</v>
      </c>
      <c r="J30" s="11"/>
      <c r="K30" s="11"/>
      <c r="L30" s="11"/>
      <c r="N30" s="23">
        <f>B17-I31</f>
        <v>0</v>
      </c>
      <c r="O30" s="23">
        <f>N30-N13</f>
        <v>-30</v>
      </c>
    </row>
    <row r="31" spans="1:16">
      <c r="A31" s="11"/>
      <c r="B31" s="11"/>
      <c r="C31" s="11"/>
      <c r="D31" s="11"/>
      <c r="E31" s="11"/>
      <c r="F31" s="14" t="s">
        <v>1</v>
      </c>
      <c r="G31" s="14">
        <f>G30+G29+G28</f>
        <v>0</v>
      </c>
      <c r="H31" s="14">
        <f>H30+H29+H28</f>
        <v>0</v>
      </c>
      <c r="I31" s="16">
        <f>SUM(I29:I30)+I28</f>
        <v>0</v>
      </c>
      <c r="J31" s="11"/>
      <c r="K31" s="11"/>
      <c r="L31" s="11"/>
    </row>
    <row r="32" spans="1:16" ht="15.75">
      <c r="A32" s="11"/>
      <c r="B32" s="11"/>
      <c r="C32" s="11"/>
      <c r="D32" s="11"/>
      <c r="E32" s="11"/>
      <c r="F32" s="11"/>
      <c r="G32" s="11"/>
      <c r="H32" s="11"/>
      <c r="I32" s="17" t="str">
        <f>IF(I31=B17,"a","r")</f>
        <v>a</v>
      </c>
      <c r="J32" s="11"/>
      <c r="K32" s="11"/>
      <c r="L32" s="11"/>
    </row>
    <row r="33" spans="2:14">
      <c r="N33">
        <v>9</v>
      </c>
    </row>
    <row r="34" spans="2:14">
      <c r="B34" s="23">
        <f>B2+B17</f>
        <v>0</v>
      </c>
      <c r="C34">
        <f>I14+I31</f>
        <v>30</v>
      </c>
      <c r="D34" s="23">
        <f>B34-C34</f>
        <v>-30</v>
      </c>
      <c r="G34">
        <f>4*1.94</f>
        <v>7.76</v>
      </c>
      <c r="I34">
        <f>I14+I31</f>
        <v>30</v>
      </c>
      <c r="N34">
        <v>10</v>
      </c>
    </row>
  </sheetData>
  <dataValidations count="2">
    <dataValidation type="list" allowBlank="1" showInputMessage="1" showErrorMessage="1" sqref="F12:F13 F17:F27 F29:F30 F2:F10">
      <formula1>$N$2:$N$7</formula1>
    </dataValidation>
    <dataValidation type="list" allowBlank="1" showInputMessage="1" showErrorMessage="1" sqref="C29:C32 C12:C27 H15 F15:F16 F32 H32 C2:C10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Ecv</vt:lpstr>
      <vt:lpstr>Elecl </vt:lpstr>
      <vt:lpstr>Estimate cable  </vt:lpstr>
      <vt:lpstr>Civil </vt:lpstr>
      <vt:lpstr>Estimate conductor </vt:lpstr>
      <vt:lpstr>Sheet1</vt:lpstr>
      <vt:lpstr>Estimate AB cable  </vt:lpstr>
      <vt:lpstr>Ecv!_GoBack</vt:lpstr>
      <vt:lpstr>Ecv!Print_Area</vt:lpstr>
      <vt:lpstr>'Elecl '!Print_Area</vt:lpstr>
      <vt:lpstr>'Estimate conductor 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2026-02-11T10:25:30Z</dcterms:modified>
</cp:coreProperties>
</file>